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itlin.wojtasek/Downloads/"/>
    </mc:Choice>
  </mc:AlternateContent>
  <xr:revisionPtr revIDLastSave="0" documentId="8_{9EAE19AF-B14C-3741-82A6-0F6741D56488}" xr6:coauthVersionLast="47" xr6:coauthVersionMax="47" xr10:uidLastSave="{00000000-0000-0000-0000-000000000000}"/>
  <bookViews>
    <workbookView xWindow="-29040" yWindow="-120" windowWidth="29040" windowHeight="15840" xr2:uid="{E39CC4E3-8588-498E-8B9B-00931936B3D9}"/>
  </bookViews>
  <sheets>
    <sheet name="Blank Reconciliation Template" sheetId="6" r:id="rId1"/>
    <sheet name="Sample Reconciliation #1" sheetId="4" r:id="rId2"/>
    <sheet name="Sample Reconciliation #2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8" i="6" l="1"/>
  <c r="S62" i="6" s="1"/>
  <c r="R58" i="6"/>
  <c r="R62" i="6" s="1"/>
  <c r="Q58" i="6"/>
  <c r="Q62" i="6" s="1"/>
  <c r="P58" i="6"/>
  <c r="P62" i="6" s="1"/>
  <c r="O58" i="6"/>
  <c r="O62" i="6" s="1"/>
  <c r="N58" i="6"/>
  <c r="N62" i="6" s="1"/>
  <c r="M58" i="6"/>
  <c r="M62" i="6" s="1"/>
  <c r="L58" i="6"/>
  <c r="L62" i="6" s="1"/>
  <c r="K58" i="6"/>
  <c r="K62" i="6" s="1"/>
  <c r="J58" i="6"/>
  <c r="J62" i="6" s="1"/>
  <c r="I58" i="6"/>
  <c r="I62" i="6" s="1"/>
  <c r="H58" i="6"/>
  <c r="H62" i="6" s="1"/>
  <c r="T56" i="6"/>
  <c r="V56" i="6" s="1"/>
  <c r="T55" i="6"/>
  <c r="V55" i="6" s="1"/>
  <c r="T54" i="6"/>
  <c r="V54" i="6" s="1"/>
  <c r="T53" i="6"/>
  <c r="V53" i="6" s="1"/>
  <c r="T52" i="6"/>
  <c r="V52" i="6" s="1"/>
  <c r="T51" i="6"/>
  <c r="V51" i="6" s="1"/>
  <c r="T50" i="6"/>
  <c r="V50" i="6" s="1"/>
  <c r="T49" i="6"/>
  <c r="V49" i="6" s="1"/>
  <c r="T48" i="6"/>
  <c r="V48" i="6" s="1"/>
  <c r="T47" i="6"/>
  <c r="V47" i="6" s="1"/>
  <c r="T46" i="6"/>
  <c r="V46" i="6" s="1"/>
  <c r="T45" i="6"/>
  <c r="V45" i="6" s="1"/>
  <c r="F58" i="6"/>
  <c r="T44" i="6"/>
  <c r="V44" i="6" s="1"/>
  <c r="T43" i="6"/>
  <c r="V43" i="6" s="1"/>
  <c r="T42" i="6"/>
  <c r="V42" i="6" s="1"/>
  <c r="T41" i="6"/>
  <c r="V41" i="6" s="1"/>
  <c r="T40" i="6"/>
  <c r="V40" i="6" s="1"/>
  <c r="T39" i="6"/>
  <c r="V39" i="6" s="1"/>
  <c r="T38" i="6"/>
  <c r="V38" i="6" s="1"/>
  <c r="T37" i="6"/>
  <c r="V37" i="6" s="1"/>
  <c r="U58" i="6"/>
  <c r="E58" i="6"/>
  <c r="S30" i="6"/>
  <c r="O30" i="6"/>
  <c r="N30" i="6"/>
  <c r="M30" i="6"/>
  <c r="I30" i="6"/>
  <c r="H30" i="6"/>
  <c r="S28" i="6"/>
  <c r="S61" i="6" s="1"/>
  <c r="S63" i="6" s="1"/>
  <c r="R28" i="6"/>
  <c r="R30" i="6" s="1"/>
  <c r="Q28" i="6"/>
  <c r="Q30" i="6" s="1"/>
  <c r="P28" i="6"/>
  <c r="P30" i="6" s="1"/>
  <c r="O28" i="6"/>
  <c r="O61" i="6" s="1"/>
  <c r="O63" i="6" s="1"/>
  <c r="N28" i="6"/>
  <c r="N61" i="6" s="1"/>
  <c r="M28" i="6"/>
  <c r="M61" i="6" s="1"/>
  <c r="M63" i="6" s="1"/>
  <c r="L28" i="6"/>
  <c r="L30" i="6" s="1"/>
  <c r="K28" i="6"/>
  <c r="K30" i="6" s="1"/>
  <c r="J28" i="6"/>
  <c r="J30" i="6" s="1"/>
  <c r="I28" i="6"/>
  <c r="I61" i="6" s="1"/>
  <c r="I63" i="6" s="1"/>
  <c r="H28" i="6"/>
  <c r="H61" i="6" s="1"/>
  <c r="F28" i="6"/>
  <c r="T27" i="6"/>
  <c r="G26" i="6"/>
  <c r="T26" i="6" s="1"/>
  <c r="V26" i="6" s="1"/>
  <c r="G25" i="6"/>
  <c r="T25" i="6" s="1"/>
  <c r="V25" i="6" s="1"/>
  <c r="G24" i="6"/>
  <c r="T24" i="6" s="1"/>
  <c r="V24" i="6" s="1"/>
  <c r="G23" i="6"/>
  <c r="T23" i="6" s="1"/>
  <c r="V23" i="6" s="1"/>
  <c r="G22" i="6"/>
  <c r="T22" i="6" s="1"/>
  <c r="V22" i="6" s="1"/>
  <c r="G21" i="6"/>
  <c r="T21" i="6" s="1"/>
  <c r="V21" i="6" s="1"/>
  <c r="G20" i="6"/>
  <c r="T20" i="6" s="1"/>
  <c r="V20" i="6" s="1"/>
  <c r="G19" i="6"/>
  <c r="T19" i="6" s="1"/>
  <c r="V19" i="6" s="1"/>
  <c r="G18" i="6"/>
  <c r="T18" i="6" s="1"/>
  <c r="V18" i="6" s="1"/>
  <c r="G17" i="6"/>
  <c r="T17" i="6" s="1"/>
  <c r="V17" i="6" s="1"/>
  <c r="G16" i="6"/>
  <c r="T16" i="6" s="1"/>
  <c r="V16" i="6" s="1"/>
  <c r="G15" i="6"/>
  <c r="T15" i="6" s="1"/>
  <c r="V15" i="6" s="1"/>
  <c r="G14" i="6"/>
  <c r="T14" i="6" s="1"/>
  <c r="V14" i="6" s="1"/>
  <c r="G13" i="6"/>
  <c r="T13" i="6" s="1"/>
  <c r="V13" i="6" s="1"/>
  <c r="G12" i="6"/>
  <c r="T12" i="6" s="1"/>
  <c r="V12" i="6" s="1"/>
  <c r="G11" i="6"/>
  <c r="T11" i="6" s="1"/>
  <c r="V11" i="6" s="1"/>
  <c r="G10" i="6"/>
  <c r="T10" i="6" s="1"/>
  <c r="V10" i="6" s="1"/>
  <c r="G9" i="6"/>
  <c r="T9" i="6" s="1"/>
  <c r="V9" i="6" s="1"/>
  <c r="G8" i="6"/>
  <c r="T8" i="6" s="1"/>
  <c r="V8" i="6" s="1"/>
  <c r="G7" i="6"/>
  <c r="T7" i="6" s="1"/>
  <c r="V7" i="6" s="1"/>
  <c r="U28" i="6"/>
  <c r="G6" i="6"/>
  <c r="E56" i="5"/>
  <c r="G56" i="5" s="1"/>
  <c r="F55" i="5"/>
  <c r="G55" i="5" s="1"/>
  <c r="E55" i="5"/>
  <c r="G54" i="5"/>
  <c r="E54" i="5"/>
  <c r="E53" i="5"/>
  <c r="G53" i="5" s="1"/>
  <c r="G52" i="5"/>
  <c r="E52" i="5"/>
  <c r="G51" i="5"/>
  <c r="E51" i="5"/>
  <c r="E50" i="5"/>
  <c r="G50" i="5" s="1"/>
  <c r="T50" i="5" s="1"/>
  <c r="G49" i="5"/>
  <c r="E49" i="5"/>
  <c r="G48" i="5"/>
  <c r="T48" i="5" s="1"/>
  <c r="V48" i="5" s="1"/>
  <c r="E48" i="5"/>
  <c r="E47" i="5"/>
  <c r="G47" i="5" s="1"/>
  <c r="T47" i="5" s="1"/>
  <c r="G46" i="5"/>
  <c r="E46" i="5"/>
  <c r="G45" i="5"/>
  <c r="E45" i="5"/>
  <c r="F44" i="5"/>
  <c r="E44" i="5"/>
  <c r="G44" i="5" s="1"/>
  <c r="E43" i="5"/>
  <c r="G43" i="5" s="1"/>
  <c r="T43" i="5" s="1"/>
  <c r="E42" i="5"/>
  <c r="G42" i="5" s="1"/>
  <c r="T42" i="5" s="1"/>
  <c r="V42" i="5" s="1"/>
  <c r="E41" i="5"/>
  <c r="G41" i="5" s="1"/>
  <c r="T41" i="5" s="1"/>
  <c r="E40" i="5"/>
  <c r="G40" i="5" s="1"/>
  <c r="T40" i="5" s="1"/>
  <c r="E39" i="5"/>
  <c r="G39" i="5" s="1"/>
  <c r="E38" i="5"/>
  <c r="G38" i="5" s="1"/>
  <c r="T38" i="5" s="1"/>
  <c r="V38" i="5" s="1"/>
  <c r="F37" i="5"/>
  <c r="E37" i="5"/>
  <c r="G37" i="5" s="1"/>
  <c r="T37" i="5" s="1"/>
  <c r="V37" i="5" s="1"/>
  <c r="E36" i="5"/>
  <c r="G36" i="5" s="1"/>
  <c r="U56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6" i="5"/>
  <c r="U26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6" i="5"/>
  <c r="R63" i="5"/>
  <c r="Q63" i="5"/>
  <c r="N63" i="5"/>
  <c r="S59" i="5"/>
  <c r="S63" i="5" s="1"/>
  <c r="R59" i="5"/>
  <c r="Q59" i="5"/>
  <c r="P59" i="5"/>
  <c r="P63" i="5" s="1"/>
  <c r="O59" i="5"/>
  <c r="O63" i="5" s="1"/>
  <c r="N59" i="5"/>
  <c r="M59" i="5"/>
  <c r="M63" i="5" s="1"/>
  <c r="J59" i="5"/>
  <c r="J63" i="5" s="1"/>
  <c r="V57" i="5"/>
  <c r="I57" i="5"/>
  <c r="I59" i="5" s="1"/>
  <c r="I63" i="5" s="1"/>
  <c r="H57" i="5"/>
  <c r="H56" i="5"/>
  <c r="H59" i="5" s="1"/>
  <c r="H63" i="5" s="1"/>
  <c r="L55" i="5"/>
  <c r="K55" i="5"/>
  <c r="L53" i="5"/>
  <c r="K53" i="5"/>
  <c r="T52" i="5"/>
  <c r="V52" i="5" s="1"/>
  <c r="K49" i="5"/>
  <c r="K48" i="5"/>
  <c r="L45" i="5"/>
  <c r="L59" i="5" s="1"/>
  <c r="L63" i="5" s="1"/>
  <c r="K41" i="5"/>
  <c r="K40" i="5"/>
  <c r="K59" i="5" s="1"/>
  <c r="K63" i="5" s="1"/>
  <c r="P29" i="5"/>
  <c r="M29" i="5"/>
  <c r="I29" i="5"/>
  <c r="H29" i="5"/>
  <c r="S28" i="5"/>
  <c r="S62" i="5" s="1"/>
  <c r="R28" i="5"/>
  <c r="R62" i="5" s="1"/>
  <c r="R64" i="5" s="1"/>
  <c r="J28" i="5"/>
  <c r="J30" i="5" s="1"/>
  <c r="T27" i="5"/>
  <c r="Q26" i="5"/>
  <c r="P26" i="5"/>
  <c r="O26" i="5"/>
  <c r="N26" i="5"/>
  <c r="M26" i="5"/>
  <c r="L26" i="5"/>
  <c r="K26" i="5"/>
  <c r="I26" i="5"/>
  <c r="H26" i="5"/>
  <c r="G26" i="5"/>
  <c r="T26" i="5" s="1"/>
  <c r="E26" i="5"/>
  <c r="O25" i="5"/>
  <c r="N25" i="5"/>
  <c r="M25" i="5"/>
  <c r="L25" i="5"/>
  <c r="K25" i="5"/>
  <c r="F25" i="5"/>
  <c r="E25" i="5"/>
  <c r="P24" i="5"/>
  <c r="I24" i="5"/>
  <c r="G24" i="5"/>
  <c r="T24" i="5" s="1"/>
  <c r="E24" i="5"/>
  <c r="T54" i="5" s="1"/>
  <c r="Q23" i="5"/>
  <c r="P23" i="5"/>
  <c r="O23" i="5"/>
  <c r="N23" i="5"/>
  <c r="M23" i="5"/>
  <c r="L23" i="5"/>
  <c r="K23" i="5"/>
  <c r="G23" i="5"/>
  <c r="T23" i="5" s="1"/>
  <c r="V23" i="5" s="1"/>
  <c r="E23" i="5"/>
  <c r="M22" i="5"/>
  <c r="I22" i="5"/>
  <c r="T22" i="5" s="1"/>
  <c r="V22" i="5" s="1"/>
  <c r="H22" i="5"/>
  <c r="G22" i="5"/>
  <c r="E22" i="5"/>
  <c r="Q21" i="5"/>
  <c r="P21" i="5"/>
  <c r="O21" i="5"/>
  <c r="N21" i="5"/>
  <c r="M21" i="5"/>
  <c r="L21" i="5"/>
  <c r="K21" i="5"/>
  <c r="I21" i="5"/>
  <c r="H21" i="5"/>
  <c r="E21" i="5"/>
  <c r="T51" i="5" s="1"/>
  <c r="Q20" i="5"/>
  <c r="P20" i="5"/>
  <c r="O20" i="5"/>
  <c r="N20" i="5"/>
  <c r="M20" i="5"/>
  <c r="L20" i="5"/>
  <c r="K20" i="5"/>
  <c r="I20" i="5"/>
  <c r="H20" i="5"/>
  <c r="G20" i="5"/>
  <c r="T20" i="5" s="1"/>
  <c r="V20" i="5" s="1"/>
  <c r="E20" i="5"/>
  <c r="E19" i="5"/>
  <c r="T49" i="5" s="1"/>
  <c r="Q18" i="5"/>
  <c r="P18" i="5"/>
  <c r="O18" i="5"/>
  <c r="N18" i="5"/>
  <c r="M18" i="5"/>
  <c r="L18" i="5"/>
  <c r="K18" i="5"/>
  <c r="I18" i="5"/>
  <c r="G18" i="5"/>
  <c r="T18" i="5" s="1"/>
  <c r="V18" i="5" s="1"/>
  <c r="E18" i="5"/>
  <c r="Q17" i="5"/>
  <c r="P17" i="5"/>
  <c r="O17" i="5"/>
  <c r="N17" i="5"/>
  <c r="M17" i="5"/>
  <c r="L17" i="5"/>
  <c r="K17" i="5"/>
  <c r="I17" i="5"/>
  <c r="T17" i="5" s="1"/>
  <c r="H17" i="5"/>
  <c r="G17" i="5"/>
  <c r="E17" i="5"/>
  <c r="T16" i="5"/>
  <c r="V16" i="5" s="1"/>
  <c r="I16" i="5"/>
  <c r="G16" i="5"/>
  <c r="E16" i="5"/>
  <c r="T46" i="5" s="1"/>
  <c r="T15" i="5"/>
  <c r="V15" i="5" s="1"/>
  <c r="J15" i="5"/>
  <c r="G15" i="5"/>
  <c r="E15" i="5"/>
  <c r="Q14" i="5"/>
  <c r="P14" i="5"/>
  <c r="F14" i="5"/>
  <c r="F28" i="5" s="1"/>
  <c r="E14" i="5"/>
  <c r="Q13" i="5"/>
  <c r="P13" i="5"/>
  <c r="O13" i="5"/>
  <c r="N13" i="5"/>
  <c r="M13" i="5"/>
  <c r="L13" i="5"/>
  <c r="K13" i="5"/>
  <c r="I13" i="5"/>
  <c r="H13" i="5"/>
  <c r="G13" i="5"/>
  <c r="T13" i="5" s="1"/>
  <c r="V13" i="5" s="1"/>
  <c r="E13" i="5"/>
  <c r="Q12" i="5"/>
  <c r="Q28" i="5" s="1"/>
  <c r="P12" i="5"/>
  <c r="P28" i="5" s="1"/>
  <c r="O12" i="5"/>
  <c r="O28" i="5" s="1"/>
  <c r="N12" i="5"/>
  <c r="M12" i="5"/>
  <c r="L12" i="5"/>
  <c r="K12" i="5"/>
  <c r="K28" i="5" s="1"/>
  <c r="I12" i="5"/>
  <c r="T12" i="5" s="1"/>
  <c r="V12" i="5" s="1"/>
  <c r="H12" i="5"/>
  <c r="G12" i="5"/>
  <c r="E12" i="5"/>
  <c r="Q11" i="5"/>
  <c r="P11" i="5"/>
  <c r="O11" i="5"/>
  <c r="N11" i="5"/>
  <c r="M11" i="5"/>
  <c r="L11" i="5"/>
  <c r="T11" i="5" s="1"/>
  <c r="K11" i="5"/>
  <c r="G11" i="5"/>
  <c r="E11" i="5"/>
  <c r="T10" i="5"/>
  <c r="V10" i="5" s="1"/>
  <c r="Q10" i="5"/>
  <c r="P10" i="5"/>
  <c r="O10" i="5"/>
  <c r="N10" i="5"/>
  <c r="M10" i="5"/>
  <c r="L10" i="5"/>
  <c r="K10" i="5"/>
  <c r="G10" i="5"/>
  <c r="E10" i="5"/>
  <c r="Q9" i="5"/>
  <c r="P9" i="5"/>
  <c r="O9" i="5"/>
  <c r="N9" i="5"/>
  <c r="M9" i="5"/>
  <c r="L9" i="5"/>
  <c r="L28" i="5" s="1"/>
  <c r="K9" i="5"/>
  <c r="I9" i="5"/>
  <c r="H9" i="5"/>
  <c r="E9" i="5"/>
  <c r="G9" i="5" s="1"/>
  <c r="T9" i="5" s="1"/>
  <c r="E8" i="5"/>
  <c r="G8" i="5" s="1"/>
  <c r="T8" i="5" s="1"/>
  <c r="V8" i="5" s="1"/>
  <c r="N7" i="5"/>
  <c r="N28" i="5" s="1"/>
  <c r="M7" i="5"/>
  <c r="M28" i="5" s="1"/>
  <c r="L7" i="5"/>
  <c r="K7" i="5"/>
  <c r="I7" i="5"/>
  <c r="H7" i="5"/>
  <c r="T7" i="5" s="1"/>
  <c r="V7" i="5" s="1"/>
  <c r="G7" i="5"/>
  <c r="F7" i="5"/>
  <c r="E7" i="5"/>
  <c r="T6" i="5"/>
  <c r="I6" i="5"/>
  <c r="I28" i="5" s="1"/>
  <c r="G6" i="5"/>
  <c r="E6" i="5"/>
  <c r="U44" i="4"/>
  <c r="F44" i="4"/>
  <c r="U14" i="4"/>
  <c r="E56" i="4"/>
  <c r="G56" i="4" s="1"/>
  <c r="G55" i="4"/>
  <c r="E55" i="4"/>
  <c r="E54" i="4"/>
  <c r="G54" i="4" s="1"/>
  <c r="E53" i="4"/>
  <c r="G53" i="4" s="1"/>
  <c r="G52" i="4"/>
  <c r="E52" i="4"/>
  <c r="E51" i="4"/>
  <c r="G51" i="4" s="1"/>
  <c r="E50" i="4"/>
  <c r="G50" i="4" s="1"/>
  <c r="G49" i="4"/>
  <c r="E49" i="4"/>
  <c r="E48" i="4"/>
  <c r="G48" i="4" s="1"/>
  <c r="E47" i="4"/>
  <c r="G47" i="4" s="1"/>
  <c r="G46" i="4"/>
  <c r="E46" i="4"/>
  <c r="E45" i="4"/>
  <c r="G45" i="4" s="1"/>
  <c r="E44" i="4"/>
  <c r="G44" i="4" s="1"/>
  <c r="G43" i="4"/>
  <c r="E43" i="4"/>
  <c r="E42" i="4"/>
  <c r="G42" i="4" s="1"/>
  <c r="E41" i="4"/>
  <c r="G41" i="4" s="1"/>
  <c r="G40" i="4"/>
  <c r="E40" i="4"/>
  <c r="E39" i="4"/>
  <c r="G39" i="4" s="1"/>
  <c r="E38" i="4"/>
  <c r="G38" i="4" s="1"/>
  <c r="G37" i="4"/>
  <c r="E37" i="4"/>
  <c r="E36" i="4"/>
  <c r="G36" i="4" s="1"/>
  <c r="U56" i="4"/>
  <c r="U55" i="4"/>
  <c r="U54" i="4"/>
  <c r="U53" i="4"/>
  <c r="U52" i="4"/>
  <c r="U51" i="4"/>
  <c r="U50" i="4"/>
  <c r="U49" i="4"/>
  <c r="U48" i="4"/>
  <c r="U47" i="4"/>
  <c r="U46" i="4"/>
  <c r="U45" i="4"/>
  <c r="U43" i="4"/>
  <c r="U42" i="4"/>
  <c r="U41" i="4"/>
  <c r="U40" i="4"/>
  <c r="U39" i="4"/>
  <c r="U38" i="4"/>
  <c r="U37" i="4"/>
  <c r="U36" i="4"/>
  <c r="U26" i="4"/>
  <c r="U25" i="4"/>
  <c r="U24" i="4"/>
  <c r="U23" i="4"/>
  <c r="U22" i="4"/>
  <c r="U21" i="4"/>
  <c r="U20" i="4"/>
  <c r="U19" i="4"/>
  <c r="U18" i="4"/>
  <c r="E18" i="4"/>
  <c r="G18" i="4" s="1"/>
  <c r="T18" i="4" s="1"/>
  <c r="U17" i="4"/>
  <c r="U16" i="4"/>
  <c r="U15" i="4"/>
  <c r="U13" i="4"/>
  <c r="U12" i="4"/>
  <c r="U11" i="4"/>
  <c r="U10" i="4"/>
  <c r="U9" i="4"/>
  <c r="U8" i="4"/>
  <c r="U7" i="4"/>
  <c r="S58" i="4"/>
  <c r="S62" i="4" s="1"/>
  <c r="R58" i="4"/>
  <c r="R62" i="4" s="1"/>
  <c r="Q58" i="4"/>
  <c r="Q62" i="4" s="1"/>
  <c r="P58" i="4"/>
  <c r="P62" i="4" s="1"/>
  <c r="O58" i="4"/>
  <c r="O62" i="4" s="1"/>
  <c r="N58" i="4"/>
  <c r="N62" i="4" s="1"/>
  <c r="M58" i="4"/>
  <c r="M62" i="4" s="1"/>
  <c r="J58" i="4"/>
  <c r="J62" i="4" s="1"/>
  <c r="I58" i="4"/>
  <c r="I62" i="4" s="1"/>
  <c r="S28" i="4"/>
  <c r="S61" i="4" s="1"/>
  <c r="R28" i="4"/>
  <c r="R61" i="4" s="1"/>
  <c r="Q28" i="4"/>
  <c r="Q30" i="4" s="1"/>
  <c r="P28" i="4"/>
  <c r="P30" i="4" s="1"/>
  <c r="O28" i="4"/>
  <c r="O61" i="4" s="1"/>
  <c r="N28" i="4"/>
  <c r="N61" i="4" s="1"/>
  <c r="M28" i="4"/>
  <c r="M30" i="4" s="1"/>
  <c r="L28" i="4"/>
  <c r="L30" i="4" s="1"/>
  <c r="K28" i="4"/>
  <c r="K30" i="4" s="1"/>
  <c r="J28" i="4"/>
  <c r="J61" i="4" s="1"/>
  <c r="I28" i="4"/>
  <c r="I61" i="4" s="1"/>
  <c r="I63" i="4" s="1"/>
  <c r="H28" i="4"/>
  <c r="H30" i="4" s="1"/>
  <c r="T27" i="4"/>
  <c r="E26" i="4"/>
  <c r="E25" i="4"/>
  <c r="G25" i="4" s="1"/>
  <c r="T25" i="4" s="1"/>
  <c r="E24" i="4"/>
  <c r="E23" i="4"/>
  <c r="E22" i="4"/>
  <c r="T52" i="4" s="1"/>
  <c r="E21" i="4"/>
  <c r="G21" i="4" s="1"/>
  <c r="T21" i="4" s="1"/>
  <c r="E20" i="4"/>
  <c r="E19" i="4"/>
  <c r="G19" i="4" s="1"/>
  <c r="T19" i="4" s="1"/>
  <c r="E17" i="4"/>
  <c r="E16" i="4"/>
  <c r="E15" i="4"/>
  <c r="E14" i="4"/>
  <c r="E13" i="4"/>
  <c r="E12" i="4"/>
  <c r="G12" i="4" s="1"/>
  <c r="T12" i="4" s="1"/>
  <c r="E11" i="4"/>
  <c r="G11" i="4" s="1"/>
  <c r="T11" i="4" s="1"/>
  <c r="E10" i="4"/>
  <c r="G10" i="4" s="1"/>
  <c r="T10" i="4" s="1"/>
  <c r="E9" i="4"/>
  <c r="E8" i="4"/>
  <c r="G8" i="4" s="1"/>
  <c r="T8" i="4" s="1"/>
  <c r="E7" i="4"/>
  <c r="U6" i="4"/>
  <c r="E6" i="4"/>
  <c r="G6" i="4" s="1"/>
  <c r="H63" i="6" l="1"/>
  <c r="N63" i="6"/>
  <c r="T6" i="6"/>
  <c r="G28" i="6"/>
  <c r="J61" i="6"/>
  <c r="J63" i="6" s="1"/>
  <c r="P61" i="6"/>
  <c r="P63" i="6" s="1"/>
  <c r="K61" i="6"/>
  <c r="K63" i="6" s="1"/>
  <c r="Q61" i="6"/>
  <c r="Q63" i="6" s="1"/>
  <c r="L61" i="6"/>
  <c r="L63" i="6" s="1"/>
  <c r="R61" i="6"/>
  <c r="R63" i="6" s="1"/>
  <c r="E28" i="6"/>
  <c r="T45" i="5"/>
  <c r="T53" i="5"/>
  <c r="V53" i="5" s="1"/>
  <c r="T56" i="5"/>
  <c r="V56" i="5" s="1"/>
  <c r="V54" i="5"/>
  <c r="V51" i="5"/>
  <c r="V50" i="5"/>
  <c r="V49" i="5"/>
  <c r="V47" i="5"/>
  <c r="V46" i="5"/>
  <c r="V45" i="5"/>
  <c r="V43" i="5"/>
  <c r="V41" i="5"/>
  <c r="V40" i="5"/>
  <c r="U59" i="5"/>
  <c r="S64" i="5"/>
  <c r="V26" i="5"/>
  <c r="V24" i="5"/>
  <c r="V17" i="5"/>
  <c r="U28" i="5"/>
  <c r="V11" i="5"/>
  <c r="V9" i="5"/>
  <c r="S30" i="5"/>
  <c r="I62" i="5"/>
  <c r="I64" i="5" s="1"/>
  <c r="I30" i="5"/>
  <c r="L62" i="5"/>
  <c r="L64" i="5" s="1"/>
  <c r="L30" i="5"/>
  <c r="O62" i="5"/>
  <c r="O64" i="5" s="1"/>
  <c r="O30" i="5"/>
  <c r="P30" i="5"/>
  <c r="P62" i="5"/>
  <c r="P64" i="5" s="1"/>
  <c r="K62" i="5"/>
  <c r="K64" i="5" s="1"/>
  <c r="K30" i="5"/>
  <c r="Q62" i="5"/>
  <c r="Q64" i="5" s="1"/>
  <c r="Q30" i="5"/>
  <c r="M62" i="5"/>
  <c r="M64" i="5" s="1"/>
  <c r="M30" i="5"/>
  <c r="T44" i="5"/>
  <c r="V44" i="5" s="1"/>
  <c r="T55" i="5"/>
  <c r="V55" i="5" s="1"/>
  <c r="N62" i="5"/>
  <c r="N64" i="5" s="1"/>
  <c r="N30" i="5"/>
  <c r="V6" i="5"/>
  <c r="G21" i="5"/>
  <c r="T21" i="5" s="1"/>
  <c r="V21" i="5" s="1"/>
  <c r="G14" i="5"/>
  <c r="T14" i="5" s="1"/>
  <c r="V14" i="5" s="1"/>
  <c r="R30" i="5"/>
  <c r="T39" i="5"/>
  <c r="V39" i="5" s="1"/>
  <c r="J62" i="5"/>
  <c r="J64" i="5" s="1"/>
  <c r="G19" i="5"/>
  <c r="T19" i="5" s="1"/>
  <c r="V19" i="5" s="1"/>
  <c r="E28" i="5"/>
  <c r="G25" i="5"/>
  <c r="T25" i="5" s="1"/>
  <c r="V25" i="5" s="1"/>
  <c r="H28" i="5"/>
  <c r="F59" i="5"/>
  <c r="T39" i="4"/>
  <c r="V39" i="4" s="1"/>
  <c r="T45" i="4"/>
  <c r="V45" i="4" s="1"/>
  <c r="T46" i="4"/>
  <c r="T47" i="4"/>
  <c r="T54" i="4"/>
  <c r="V54" i="4" s="1"/>
  <c r="T43" i="4"/>
  <c r="V43" i="4" s="1"/>
  <c r="T50" i="4"/>
  <c r="T56" i="4"/>
  <c r="S63" i="4"/>
  <c r="V25" i="4"/>
  <c r="V21" i="4"/>
  <c r="V18" i="4"/>
  <c r="T41" i="4"/>
  <c r="V41" i="4" s="1"/>
  <c r="V50" i="4"/>
  <c r="T53" i="4"/>
  <c r="V53" i="4" s="1"/>
  <c r="V56" i="4"/>
  <c r="T55" i="4"/>
  <c r="V55" i="4" s="1"/>
  <c r="V46" i="4"/>
  <c r="V19" i="4"/>
  <c r="V11" i="4"/>
  <c r="G14" i="4"/>
  <c r="T14" i="4" s="1"/>
  <c r="V14" i="4" s="1"/>
  <c r="R63" i="4"/>
  <c r="K61" i="4"/>
  <c r="N63" i="4"/>
  <c r="P61" i="4"/>
  <c r="P63" i="4" s="1"/>
  <c r="V12" i="4"/>
  <c r="G20" i="4"/>
  <c r="T20" i="4" s="1"/>
  <c r="J63" i="4"/>
  <c r="U28" i="4"/>
  <c r="V47" i="4"/>
  <c r="V52" i="4"/>
  <c r="K58" i="4"/>
  <c r="K62" i="4" s="1"/>
  <c r="L58" i="4"/>
  <c r="L62" i="4" s="1"/>
  <c r="H58" i="4"/>
  <c r="H62" i="4" s="1"/>
  <c r="G7" i="4"/>
  <c r="T7" i="4" s="1"/>
  <c r="V7" i="4" s="1"/>
  <c r="V10" i="4"/>
  <c r="T48" i="4"/>
  <c r="V48" i="4" s="1"/>
  <c r="V20" i="4"/>
  <c r="U58" i="4"/>
  <c r="G24" i="4"/>
  <c r="T24" i="4" s="1"/>
  <c r="V24" i="4" s="1"/>
  <c r="G26" i="4"/>
  <c r="T26" i="4" s="1"/>
  <c r="V26" i="4" s="1"/>
  <c r="V8" i="4"/>
  <c r="G13" i="4"/>
  <c r="T13" i="4" s="1"/>
  <c r="V13" i="4" s="1"/>
  <c r="T38" i="4"/>
  <c r="V38" i="4" s="1"/>
  <c r="O63" i="4"/>
  <c r="F58" i="4"/>
  <c r="T6" i="4"/>
  <c r="G17" i="4"/>
  <c r="T17" i="4" s="1"/>
  <c r="V17" i="4" s="1"/>
  <c r="H61" i="4"/>
  <c r="L61" i="4"/>
  <c r="G9" i="4"/>
  <c r="T9" i="4" s="1"/>
  <c r="V9" i="4" s="1"/>
  <c r="G16" i="4"/>
  <c r="T16" i="4" s="1"/>
  <c r="V16" i="4" s="1"/>
  <c r="G22" i="4"/>
  <c r="T22" i="4" s="1"/>
  <c r="V22" i="4" s="1"/>
  <c r="R30" i="4"/>
  <c r="T44" i="4"/>
  <c r="V44" i="4" s="1"/>
  <c r="T51" i="4"/>
  <c r="V51" i="4" s="1"/>
  <c r="M61" i="4"/>
  <c r="M63" i="4" s="1"/>
  <c r="Q61" i="4"/>
  <c r="Q63" i="4" s="1"/>
  <c r="G15" i="4"/>
  <c r="T15" i="4" s="1"/>
  <c r="V15" i="4" s="1"/>
  <c r="E28" i="4"/>
  <c r="I30" i="4"/>
  <c r="N30" i="4"/>
  <c r="S30" i="4"/>
  <c r="T49" i="4"/>
  <c r="V49" i="4" s="1"/>
  <c r="G23" i="4"/>
  <c r="T23" i="4" s="1"/>
  <c r="V23" i="4" s="1"/>
  <c r="F28" i="4"/>
  <c r="J30" i="4"/>
  <c r="O30" i="4"/>
  <c r="T37" i="4"/>
  <c r="V37" i="4" s="1"/>
  <c r="T40" i="4"/>
  <c r="V40" i="4" s="1"/>
  <c r="T42" i="4"/>
  <c r="V42" i="4" s="1"/>
  <c r="T36" i="6" l="1"/>
  <c r="G58" i="6"/>
  <c r="T28" i="6"/>
  <c r="V6" i="6"/>
  <c r="V28" i="6" s="1"/>
  <c r="V30" i="6" s="1"/>
  <c r="T63" i="6"/>
  <c r="T65" i="6" s="1"/>
  <c r="T28" i="5"/>
  <c r="V28" i="5"/>
  <c r="V30" i="5" s="1"/>
  <c r="H62" i="5"/>
  <c r="H64" i="5" s="1"/>
  <c r="T64" i="5" s="1"/>
  <c r="T66" i="5" s="1"/>
  <c r="H30" i="5"/>
  <c r="T36" i="5"/>
  <c r="G59" i="5"/>
  <c r="G28" i="5"/>
  <c r="E59" i="5"/>
  <c r="L63" i="4"/>
  <c r="K63" i="4"/>
  <c r="H63" i="4"/>
  <c r="T63" i="4"/>
  <c r="T65" i="4" s="1"/>
  <c r="T28" i="4"/>
  <c r="V6" i="4"/>
  <c r="V28" i="4" s="1"/>
  <c r="V30" i="4" s="1"/>
  <c r="E58" i="4"/>
  <c r="G28" i="4"/>
  <c r="V36" i="6" l="1"/>
  <c r="T58" i="6"/>
  <c r="T59" i="5"/>
  <c r="V36" i="5"/>
  <c r="T36" i="4"/>
  <c r="G58" i="4"/>
  <c r="T58" i="4" l="1"/>
  <c r="V3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tc={D5F33BA5-5EA6-40C6-B521-E5B8E1C2CEF8}</author>
  </authors>
  <commentList>
    <comment ref="J15" authorId="0" shapeId="0" xr:uid="{D5F33BA5-5EA6-40C6-B521-E5B8E1C2CEF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process thru 9/10 p/r; but posted with GL</t>
      </text>
    </comment>
  </commentList>
</comments>
</file>

<file path=xl/sharedStrings.xml><?xml version="1.0" encoding="utf-8"?>
<sst xmlns="http://schemas.openxmlformats.org/spreadsheetml/2006/main" count="332" uniqueCount="79">
  <si>
    <t>Reconciliation Monthly per payroll</t>
  </si>
  <si>
    <t>2003.00GEN</t>
  </si>
  <si>
    <t xml:space="preserve">Last  </t>
  </si>
  <si>
    <t xml:space="preserve">First  </t>
  </si>
  <si>
    <t>Effective</t>
  </si>
  <si>
    <t>Total to be paid</t>
  </si>
  <si>
    <t>Total adjusted to  be</t>
  </si>
  <si>
    <t>Payroll</t>
  </si>
  <si>
    <t>Name</t>
  </si>
  <si>
    <t>Date</t>
  </si>
  <si>
    <t>7/1/21-6/30/22</t>
  </si>
  <si>
    <t>Adjustments</t>
  </si>
  <si>
    <t>paid 7/1/21-6/30/22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</si>
  <si>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</si>
  <si>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</si>
  <si>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</si>
  <si>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</si>
  <si>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</si>
  <si>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</si>
  <si>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</si>
  <si>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</si>
  <si>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</si>
  <si>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</si>
  <si>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</si>
  <si>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</si>
  <si>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Difference</t>
  </si>
  <si>
    <t>PP left</t>
  </si>
  <si>
    <t>0.02 rounding</t>
  </si>
  <si>
    <t>(32.32) term 1/18/22</t>
  </si>
  <si>
    <t>(0.20) rounding</t>
  </si>
  <si>
    <t>141.49 - benefits starting 9/1</t>
  </si>
  <si>
    <t>212.68 - benefits starting 9/1</t>
  </si>
  <si>
    <t>0.08 rounding</t>
  </si>
  <si>
    <t>0.22 rounding</t>
  </si>
  <si>
    <t>38.10 rounding - benefits starting 2/1</t>
  </si>
  <si>
    <t>10.17 - benefits starting 9/1</t>
  </si>
  <si>
    <t>(0.06) rounding</t>
  </si>
  <si>
    <t>311.01 - benefits starting 8/1</t>
  </si>
  <si>
    <t>0.24 rounding</t>
  </si>
  <si>
    <t>(0.18) rounding</t>
  </si>
  <si>
    <t>128.13 - benefits starting 9/1/21</t>
  </si>
  <si>
    <t>Grand Total</t>
  </si>
  <si>
    <t>calculated</t>
  </si>
  <si>
    <t>Per GL 2003 ( total posted through journal entries)</t>
  </si>
  <si>
    <t>hard coded</t>
  </si>
  <si>
    <t>Welfare Benefit Trust Billings</t>
  </si>
  <si>
    <t>Mos left</t>
  </si>
  <si>
    <t>Total of Bill</t>
  </si>
  <si>
    <t>Grand Total Payroll/JE</t>
  </si>
  <si>
    <t>Balance acct 2003</t>
  </si>
  <si>
    <t>(Debit Balance)/Credit Balance</t>
  </si>
  <si>
    <t>variance</t>
  </si>
  <si>
    <t>Variance</t>
  </si>
  <si>
    <t>A</t>
  </si>
  <si>
    <t>C</t>
  </si>
  <si>
    <t>F</t>
  </si>
  <si>
    <t>H</t>
  </si>
  <si>
    <t>I</t>
  </si>
  <si>
    <t>J</t>
  </si>
  <si>
    <t>K</t>
  </si>
  <si>
    <t>M</t>
  </si>
  <si>
    <t>Termed Employee Credits</t>
  </si>
  <si>
    <t>B</t>
  </si>
  <si>
    <t>D</t>
  </si>
  <si>
    <t xml:space="preserve">E </t>
  </si>
  <si>
    <t>G</t>
  </si>
  <si>
    <t>L</t>
  </si>
  <si>
    <t>O</t>
  </si>
  <si>
    <t>P</t>
  </si>
  <si>
    <t xml:space="preserve">N </t>
  </si>
  <si>
    <t>Q</t>
  </si>
  <si>
    <t>R</t>
  </si>
  <si>
    <t>S</t>
  </si>
  <si>
    <t>T</t>
  </si>
  <si>
    <t>U</t>
  </si>
  <si>
    <t>0.03 rounding - term 2/1/22</t>
  </si>
  <si>
    <t>(0.02) rounding</t>
  </si>
  <si>
    <t>252.51 - benefits starting 9/1</t>
  </si>
  <si>
    <t>38.10 rounding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</si>
</sst>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0" borderId="0" xfId="0" applyNumberFormat="1"/>
    <xf numFmtId="43" fontId="0" fillId="0" borderId="0" xfId="1" applyFont="1"/>
    <xf numFmtId="43" fontId="0" fillId="2" borderId="0" xfId="0" applyNumberFormat="1" applyFill="1"/>
    <xf numFmtId="43" fontId="0" fillId="0" borderId="0" xfId="0" applyNumberFormat="1"/>
    <xf numFmtId="43" fontId="0" fillId="3" borderId="0" xfId="1" applyFont="1" applyFill="1"/>
    <xf numFmtId="43" fontId="0" fillId="4" borderId="0" xfId="1" applyFont="1" applyFill="1"/>
    <xf numFmtId="43" fontId="0" fillId="0" borderId="0" xfId="1" applyFont="1" applyFill="1"/>
    <xf numFmtId="0" fontId="0" fillId="5" borderId="0" xfId="0" applyFill="1"/>
    <xf numFmtId="43" fontId="0" fillId="2" borderId="0" xfId="1" applyFont="1" applyFill="1"/>
    <xf numFmtId="43" fontId="0" fillId="2" borderId="1" xfId="1" applyFont="1" applyFill="1" applyBorder="1"/>
    <xf numFmtId="43" fontId="0" fillId="5" borderId="0" xfId="1" applyFont="1" applyFill="1"/>
    <xf numFmtId="43" fontId="4" fillId="0" borderId="0" xfId="1" applyFont="1"/>
    <xf numFmtId="14" fontId="0" fillId="6" borderId="0" xfId="0" applyNumberFormat="1" applyFill="1"/>
    <xf numFmtId="43" fontId="5" fillId="0" borderId="0" xfId="1" applyFont="1"/>
    <xf numFmtId="43" fontId="0" fillId="6" borderId="0" xfId="1" applyFont="1" applyFill="1"/>
    <xf numFmtId="43" fontId="0" fillId="7" borderId="0" xfId="1" applyFont="1" applyFill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5" borderId="0" xfId="0" applyFill="1" applyAlignment="1">
      <alignment horizontal="left"/>
    </xf>
    <xf numFmtId="0" fontId="3" fillId="0" borderId="0" xfId="0" applyFont="1" applyAlignment="1">
      <alignment horizontal="left"/>
    </xf>
    <xf numFmtId="43" fontId="0" fillId="8" borderId="0" xfId="1" applyFont="1" applyFill="1"/>
    <xf numFmtId="43" fontId="0" fillId="8" borderId="0" xfId="0" applyNumberFormat="1" applyFill="1"/>
    <xf numFmtId="43" fontId="0" fillId="8" borderId="2" xfId="1" applyFont="1" applyFill="1" applyBorder="1"/>
    <xf numFmtId="0" fontId="0" fillId="8" borderId="0" xfId="0" applyFill="1"/>
    <xf numFmtId="43" fontId="0" fillId="8" borderId="2" xfId="0" applyNumberFormat="1" applyFill="1" applyBorder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yle Mason" id="{CE2E04AC-CA39-4C48-97ED-56BD9A293E22}" userId="S::gayle.mason@archden.org::b753d9ef-9901-482f-9b1c-977582c6068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5" dT="2021-09-10T22:41:55.07" personId="{CE2E04AC-CA39-4C48-97ED-56BD9A293E22}" id="{D5F33BA5-5EA6-40C6-B521-E5B8E1C2CEF8}">
    <text>did not process thru 9/10 p/r; but posted with GL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0AC87-F5E3-44CB-BD4D-195E2369CB93}">
  <sheetPr>
    <tabColor rgb="FF7030A0"/>
    <pageSetUpPr fitToPage="1"/>
  </sheetPr>
  <dimension ref="A1:W66"/>
  <sheetViews>
    <sheetView tabSelected="1" zoomScale="85" zoomScaleNormal="85" workbookViewId="0">
      <pane xSplit="4" ySplit="5" topLeftCell="E6" activePane="bottomRight" state="frozen"/>
      <selection pane="topRight"/>
      <selection pane="bottomLeft"/>
      <selection pane="bottomRight" activeCell="U36" sqref="U36:U56"/>
    </sheetView>
  </sheetViews>
  <sheetFormatPr baseColWidth="10" defaultColWidth="8.83203125" defaultRowHeight="15" x14ac:dyDescent="0.2"/>
  <cols>
    <col min="1" max="1" width="4.6640625" customWidth="1"/>
    <col min="2" max="2" width="21.6640625" style="21" customWidth="1"/>
    <col min="3" max="3" width="9.5" bestFit="1" customWidth="1"/>
    <col min="4" max="4" width="9.5" customWidth="1"/>
    <col min="5" max="5" width="14.33203125" bestFit="1" customWidth="1"/>
    <col min="6" max="6" width="13.83203125" customWidth="1"/>
    <col min="7" max="7" width="20.5" bestFit="1" customWidth="1"/>
    <col min="8" max="8" width="11.1640625" bestFit="1" customWidth="1"/>
    <col min="9" max="9" width="11.6640625" customWidth="1"/>
    <col min="10" max="10" width="11.1640625" bestFit="1" customWidth="1"/>
    <col min="11" max="11" width="11" customWidth="1"/>
    <col min="12" max="12" width="11.5" customWidth="1"/>
    <col min="13" max="13" width="11.33203125" customWidth="1"/>
    <col min="14" max="14" width="13.5" customWidth="1"/>
    <col min="15" max="16" width="11.1640625" bestFit="1" customWidth="1"/>
    <col min="17" max="17" width="11.5" customWidth="1"/>
    <col min="18" max="18" width="10.83203125" customWidth="1"/>
    <col min="19" max="19" width="10.33203125" bestFit="1" customWidth="1"/>
    <col min="20" max="20" width="11.5" bestFit="1" customWidth="1"/>
    <col min="21" max="21" width="12.1640625" style="4" customWidth="1"/>
    <col min="22" max="22" width="11.5" bestFit="1" customWidth="1"/>
  </cols>
  <sheetData>
    <row r="1" spans="2:22" x14ac:dyDescent="0.2">
      <c r="B1" s="19" t="s">
        <v>0</v>
      </c>
    </row>
    <row r="2" spans="2:22" x14ac:dyDescent="0.2">
      <c r="B2" s="20" t="s">
        <v>1</v>
      </c>
    </row>
    <row r="4" spans="2:22" x14ac:dyDescent="0.2">
      <c r="B4" s="21" t="s">
        <v>2</v>
      </c>
      <c r="C4" t="s">
        <v>3</v>
      </c>
      <c r="D4" t="s">
        <v>4</v>
      </c>
      <c r="E4" t="s">
        <v>5</v>
      </c>
      <c r="G4" t="s">
        <v>6</v>
      </c>
      <c r="H4" s="30" t="s">
        <v>7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2:22" x14ac:dyDescent="0.2">
      <c r="B5" s="22" t="s">
        <v>8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1" t="s">
        <v>16</v>
      </c>
      <c r="L5" s="1" t="s">
        <v>17</v>
      </c>
      <c r="M5" s="1" t="s">
        <v>18</v>
      </c>
      <c r="N5" s="1" t="s">
        <v>19</v>
      </c>
      <c r="O5" s="1" t="s">
        <v>20</v>
      </c>
      <c r="P5" s="1" t="s">
        <v>21</v>
      </c>
      <c r="Q5" s="1" t="s">
        <v>22</v>
      </c>
      <c r="R5" s="1" t="s">
        <v>23</v>
      </c>
      <c r="S5" s="1" t="s">
        <v>24</v>
      </c>
      <c r="T5" s="1" t="s">
        <v>25</v>
      </c>
      <c r="U5" s="12" t="s">
        <v>26</v>
      </c>
      <c r="V5" s="2" t="s">
        <v>25</v>
      </c>
    </row>
    <row r="6" spans="2:22" x14ac:dyDescent="0.2">
      <c r="D6" s="3"/>
      <c r="E6" s="4"/>
      <c r="F6" s="4"/>
      <c r="G6" s="25">
        <f>E6+F6</f>
        <v>0</v>
      </c>
      <c r="H6" s="4"/>
      <c r="I6" s="14"/>
      <c r="J6" s="4"/>
      <c r="K6" s="4"/>
      <c r="L6" s="4"/>
      <c r="M6" s="4"/>
      <c r="N6" s="4"/>
      <c r="O6" s="4"/>
      <c r="P6" s="4"/>
      <c r="Q6" s="4"/>
      <c r="R6" s="4"/>
      <c r="S6" s="4"/>
      <c r="T6" s="25">
        <f t="shared" ref="T6:T27" si="0">G6-SUM(H6:S6)</f>
        <v>0</v>
      </c>
      <c r="U6" s="11"/>
      <c r="V6" s="26">
        <f>T6-U6</f>
        <v>0</v>
      </c>
    </row>
    <row r="7" spans="2:22" ht="18" customHeight="1" x14ac:dyDescent="0.2">
      <c r="D7" s="3"/>
      <c r="E7" s="4"/>
      <c r="F7" s="4"/>
      <c r="G7" s="25">
        <f t="shared" ref="G7:G26" si="1">E7+F7</f>
        <v>0</v>
      </c>
      <c r="H7" s="4"/>
      <c r="I7" s="16"/>
      <c r="J7" s="4"/>
      <c r="K7" s="4"/>
      <c r="L7" s="4"/>
      <c r="M7" s="4"/>
      <c r="N7" s="4"/>
      <c r="O7" s="9"/>
      <c r="P7" s="9"/>
      <c r="Q7" s="9"/>
      <c r="R7" s="9"/>
      <c r="S7" s="9"/>
      <c r="T7" s="25">
        <f t="shared" si="0"/>
        <v>0</v>
      </c>
      <c r="U7" s="11"/>
      <c r="V7" s="26">
        <f t="shared" ref="V7:V26" si="2">T7-U7</f>
        <v>0</v>
      </c>
    </row>
    <row r="8" spans="2:22" x14ac:dyDescent="0.2">
      <c r="D8" s="3"/>
      <c r="E8" s="4"/>
      <c r="F8" s="4"/>
      <c r="G8" s="25">
        <f t="shared" si="1"/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5">
        <f t="shared" si="0"/>
        <v>0</v>
      </c>
      <c r="U8" s="11"/>
      <c r="V8" s="26">
        <f t="shared" si="2"/>
        <v>0</v>
      </c>
    </row>
    <row r="9" spans="2:22" x14ac:dyDescent="0.2">
      <c r="D9" s="3"/>
      <c r="E9" s="4"/>
      <c r="F9" s="4"/>
      <c r="G9" s="25">
        <f t="shared" si="1"/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25">
        <f t="shared" si="0"/>
        <v>0</v>
      </c>
      <c r="U9" s="11"/>
      <c r="V9" s="26">
        <f t="shared" si="2"/>
        <v>0</v>
      </c>
    </row>
    <row r="10" spans="2:22" x14ac:dyDescent="0.2">
      <c r="D10" s="3"/>
      <c r="E10" s="4"/>
      <c r="F10" s="4"/>
      <c r="G10" s="25">
        <f t="shared" si="1"/>
        <v>0</v>
      </c>
      <c r="H10" s="9"/>
      <c r="I10" s="9"/>
      <c r="J10" s="9"/>
      <c r="K10" s="9"/>
      <c r="L10" s="9"/>
      <c r="M10" s="9"/>
      <c r="N10" s="9"/>
      <c r="O10" s="4"/>
      <c r="P10" s="4"/>
      <c r="Q10" s="4"/>
      <c r="R10" s="4"/>
      <c r="S10" s="4"/>
      <c r="T10" s="25">
        <f t="shared" si="0"/>
        <v>0</v>
      </c>
      <c r="U10" s="11"/>
      <c r="V10" s="26">
        <f t="shared" si="2"/>
        <v>0</v>
      </c>
    </row>
    <row r="11" spans="2:22" x14ac:dyDescent="0.2">
      <c r="D11" s="3"/>
      <c r="E11" s="4"/>
      <c r="F11" s="4"/>
      <c r="G11" s="25">
        <f t="shared" si="1"/>
        <v>0</v>
      </c>
      <c r="H11" s="9"/>
      <c r="I11" s="9"/>
      <c r="J11" s="9"/>
      <c r="K11" s="9"/>
      <c r="L11" s="9"/>
      <c r="M11" s="9"/>
      <c r="N11" s="9"/>
      <c r="O11" s="4"/>
      <c r="P11" s="4"/>
      <c r="Q11" s="4"/>
      <c r="R11" s="4"/>
      <c r="S11" s="4"/>
      <c r="T11" s="25">
        <f t="shared" si="0"/>
        <v>0</v>
      </c>
      <c r="U11" s="11"/>
      <c r="V11" s="26">
        <f t="shared" si="2"/>
        <v>0</v>
      </c>
    </row>
    <row r="12" spans="2:22" x14ac:dyDescent="0.2">
      <c r="D12" s="3"/>
      <c r="E12" s="9"/>
      <c r="F12" s="9"/>
      <c r="G12" s="25">
        <f t="shared" si="1"/>
        <v>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25">
        <f t="shared" si="0"/>
        <v>0</v>
      </c>
      <c r="U12" s="11"/>
      <c r="V12" s="26">
        <f t="shared" si="2"/>
        <v>0</v>
      </c>
    </row>
    <row r="13" spans="2:22" ht="15" customHeight="1" x14ac:dyDescent="0.2">
      <c r="D13" s="3"/>
      <c r="E13" s="9"/>
      <c r="F13" s="9"/>
      <c r="G13" s="25">
        <f t="shared" si="1"/>
        <v>0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25">
        <f t="shared" si="0"/>
        <v>0</v>
      </c>
      <c r="U13" s="11"/>
      <c r="V13" s="26">
        <f t="shared" si="2"/>
        <v>0</v>
      </c>
    </row>
    <row r="14" spans="2:22" ht="15" customHeight="1" x14ac:dyDescent="0.2">
      <c r="D14" s="3"/>
      <c r="E14" s="9"/>
      <c r="F14" s="9"/>
      <c r="G14" s="25">
        <f t="shared" si="1"/>
        <v>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25">
        <f t="shared" si="0"/>
        <v>0</v>
      </c>
      <c r="U14" s="11"/>
      <c r="V14" s="26">
        <f t="shared" si="2"/>
        <v>0</v>
      </c>
    </row>
    <row r="15" spans="2:22" ht="15" customHeight="1" x14ac:dyDescent="0.2">
      <c r="D15" s="3"/>
      <c r="E15" s="9"/>
      <c r="F15" s="9"/>
      <c r="G15" s="25">
        <f t="shared" si="1"/>
        <v>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25">
        <f t="shared" si="0"/>
        <v>0</v>
      </c>
      <c r="U15" s="11"/>
      <c r="V15" s="26">
        <f t="shared" si="2"/>
        <v>0</v>
      </c>
    </row>
    <row r="16" spans="2:22" x14ac:dyDescent="0.2">
      <c r="D16" s="3"/>
      <c r="E16" s="4"/>
      <c r="F16" s="4"/>
      <c r="G16" s="25">
        <f>E16+F16</f>
        <v>0</v>
      </c>
      <c r="H16" s="9"/>
      <c r="I16" s="9"/>
      <c r="J16" s="9"/>
      <c r="K16" s="9"/>
      <c r="L16" s="9"/>
      <c r="M16" s="9"/>
      <c r="N16" s="9"/>
      <c r="O16" s="4"/>
      <c r="P16" s="4"/>
      <c r="Q16" s="4"/>
      <c r="R16" s="4"/>
      <c r="S16" s="4"/>
      <c r="T16" s="25">
        <f t="shared" si="0"/>
        <v>0</v>
      </c>
      <c r="U16" s="11"/>
      <c r="V16" s="26">
        <f>T16-U16</f>
        <v>0</v>
      </c>
    </row>
    <row r="17" spans="1:23" ht="15" customHeight="1" x14ac:dyDescent="0.2">
      <c r="D17" s="3"/>
      <c r="E17" s="9"/>
      <c r="F17" s="9"/>
      <c r="G17" s="25">
        <f>E17+F17</f>
        <v>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25">
        <f t="shared" si="0"/>
        <v>0</v>
      </c>
      <c r="U17" s="11"/>
      <c r="V17" s="25">
        <f>T17-U17</f>
        <v>0</v>
      </c>
    </row>
    <row r="18" spans="1:23" ht="15" customHeight="1" x14ac:dyDescent="0.2">
      <c r="D18" s="3"/>
      <c r="E18" s="9"/>
      <c r="F18" s="9"/>
      <c r="G18" s="25">
        <f>E18+F18</f>
        <v>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25">
        <f t="shared" si="0"/>
        <v>0</v>
      </c>
      <c r="U18" s="11"/>
      <c r="V18" s="25">
        <f>T18-U18</f>
        <v>0</v>
      </c>
    </row>
    <row r="19" spans="1:23" ht="15" customHeight="1" x14ac:dyDescent="0.2">
      <c r="D19" s="3"/>
      <c r="E19" s="9"/>
      <c r="F19" s="9"/>
      <c r="G19" s="25">
        <f>E19+F19</f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25">
        <f t="shared" si="0"/>
        <v>0</v>
      </c>
      <c r="U19" s="11"/>
      <c r="V19" s="25">
        <f>T19-U19</f>
        <v>0</v>
      </c>
    </row>
    <row r="20" spans="1:23" x14ac:dyDescent="0.2">
      <c r="D20" s="3"/>
      <c r="E20" s="4"/>
      <c r="F20" s="4"/>
      <c r="G20" s="25">
        <f t="shared" si="1"/>
        <v>0</v>
      </c>
      <c r="H20" s="9"/>
      <c r="I20" s="9"/>
      <c r="J20" s="9"/>
      <c r="K20" s="9"/>
      <c r="L20" s="9"/>
      <c r="M20" s="9"/>
      <c r="N20" s="9"/>
      <c r="O20" s="4"/>
      <c r="P20" s="4"/>
      <c r="Q20" s="4"/>
      <c r="R20" s="4"/>
      <c r="S20" s="4"/>
      <c r="T20" s="25">
        <f t="shared" si="0"/>
        <v>0</v>
      </c>
      <c r="U20" s="11"/>
      <c r="V20" s="26">
        <f t="shared" si="2"/>
        <v>0</v>
      </c>
    </row>
    <row r="21" spans="1:23" x14ac:dyDescent="0.2">
      <c r="D21" s="3"/>
      <c r="E21" s="4"/>
      <c r="F21" s="4"/>
      <c r="G21" s="25">
        <f t="shared" si="1"/>
        <v>0</v>
      </c>
      <c r="H21" s="9"/>
      <c r="I21" s="9"/>
      <c r="J21" s="9"/>
      <c r="K21" s="9"/>
      <c r="L21" s="9"/>
      <c r="M21" s="9"/>
      <c r="N21" s="9"/>
      <c r="O21" s="4"/>
      <c r="P21" s="4"/>
      <c r="Q21" s="4"/>
      <c r="R21" s="4"/>
      <c r="S21" s="4"/>
      <c r="T21" s="25">
        <f t="shared" si="0"/>
        <v>0</v>
      </c>
      <c r="U21" s="11"/>
      <c r="V21" s="26">
        <f t="shared" si="2"/>
        <v>0</v>
      </c>
    </row>
    <row r="22" spans="1:23" x14ac:dyDescent="0.2">
      <c r="D22" s="3"/>
      <c r="E22" s="4"/>
      <c r="F22" s="4"/>
      <c r="G22" s="25">
        <f t="shared" si="1"/>
        <v>0</v>
      </c>
      <c r="H22" s="9"/>
      <c r="I22" s="9"/>
      <c r="J22" s="9"/>
      <c r="K22" s="9"/>
      <c r="L22" s="9"/>
      <c r="M22" s="9"/>
      <c r="N22" s="9"/>
      <c r="O22" s="4"/>
      <c r="P22" s="4"/>
      <c r="Q22" s="4"/>
      <c r="R22" s="4"/>
      <c r="S22" s="4"/>
      <c r="T22" s="25">
        <f t="shared" si="0"/>
        <v>0</v>
      </c>
      <c r="U22" s="11"/>
      <c r="V22" s="26">
        <f t="shared" si="2"/>
        <v>0</v>
      </c>
    </row>
    <row r="23" spans="1:23" x14ac:dyDescent="0.2">
      <c r="D23" s="3"/>
      <c r="E23" s="9"/>
      <c r="F23" s="4"/>
      <c r="G23" s="25">
        <f t="shared" si="1"/>
        <v>0</v>
      </c>
      <c r="H23" s="9"/>
      <c r="I23" s="9"/>
      <c r="J23" s="9"/>
      <c r="K23" s="9"/>
      <c r="L23" s="9"/>
      <c r="M23" s="9"/>
      <c r="N23" s="9"/>
      <c r="O23" s="4"/>
      <c r="P23" s="4"/>
      <c r="Q23" s="4"/>
      <c r="R23" s="4"/>
      <c r="S23" s="4"/>
      <c r="T23" s="25">
        <f t="shared" si="0"/>
        <v>0</v>
      </c>
      <c r="U23" s="11"/>
      <c r="V23" s="26">
        <f t="shared" si="2"/>
        <v>0</v>
      </c>
    </row>
    <row r="24" spans="1:23" x14ac:dyDescent="0.2">
      <c r="D24" s="3"/>
      <c r="E24" s="4"/>
      <c r="F24" s="4"/>
      <c r="G24" s="25">
        <f t="shared" si="1"/>
        <v>0</v>
      </c>
      <c r="H24" s="9"/>
      <c r="I24" s="9"/>
      <c r="J24" s="9"/>
      <c r="K24" s="9"/>
      <c r="L24" s="9"/>
      <c r="M24" s="9"/>
      <c r="N24" s="9"/>
      <c r="O24" s="4"/>
      <c r="P24" s="4"/>
      <c r="Q24" s="4"/>
      <c r="R24" s="4"/>
      <c r="S24" s="4"/>
      <c r="T24" s="25">
        <f t="shared" si="0"/>
        <v>0</v>
      </c>
      <c r="U24" s="11"/>
      <c r="V24" s="26">
        <f t="shared" si="2"/>
        <v>0</v>
      </c>
    </row>
    <row r="25" spans="1:23" x14ac:dyDescent="0.2">
      <c r="D25" s="3"/>
      <c r="E25" s="4"/>
      <c r="F25" s="4"/>
      <c r="G25" s="25">
        <f t="shared" si="1"/>
        <v>0</v>
      </c>
      <c r="H25" s="9"/>
      <c r="I25" s="9"/>
      <c r="J25" s="9"/>
      <c r="K25" s="9"/>
      <c r="L25" s="9"/>
      <c r="M25" s="9"/>
      <c r="N25" s="9"/>
      <c r="O25" s="4"/>
      <c r="P25" s="9"/>
      <c r="Q25" s="9"/>
      <c r="R25" s="9"/>
      <c r="S25" s="9"/>
      <c r="T25" s="25">
        <f t="shared" si="0"/>
        <v>0</v>
      </c>
      <c r="U25" s="11"/>
      <c r="V25" s="26">
        <f t="shared" si="2"/>
        <v>0</v>
      </c>
    </row>
    <row r="26" spans="1:23" x14ac:dyDescent="0.2">
      <c r="D26" s="3"/>
      <c r="E26" s="4"/>
      <c r="F26" s="4"/>
      <c r="G26" s="25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25">
        <f t="shared" si="0"/>
        <v>0</v>
      </c>
      <c r="U26" s="11"/>
      <c r="V26" s="26">
        <f t="shared" si="2"/>
        <v>0</v>
      </c>
    </row>
    <row r="27" spans="1:23" x14ac:dyDescent="0.2"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>
        <f t="shared" si="0"/>
        <v>0</v>
      </c>
      <c r="U27" s="11"/>
      <c r="V27" s="28"/>
    </row>
    <row r="28" spans="1:23" x14ac:dyDescent="0.2">
      <c r="B28" s="19" t="s">
        <v>41</v>
      </c>
      <c r="E28" s="26">
        <f t="shared" ref="E28:V28" si="3">SUM(E6:E27)</f>
        <v>0</v>
      </c>
      <c r="F28" s="26">
        <f t="shared" si="3"/>
        <v>0</v>
      </c>
      <c r="G28" s="26">
        <f t="shared" si="3"/>
        <v>0</v>
      </c>
      <c r="H28" s="26">
        <f t="shared" si="3"/>
        <v>0</v>
      </c>
      <c r="I28" s="26">
        <f t="shared" si="3"/>
        <v>0</v>
      </c>
      <c r="J28" s="26">
        <f t="shared" si="3"/>
        <v>0</v>
      </c>
      <c r="K28" s="26">
        <f t="shared" si="3"/>
        <v>0</v>
      </c>
      <c r="L28" s="26">
        <f t="shared" si="3"/>
        <v>0</v>
      </c>
      <c r="M28" s="26">
        <f t="shared" si="3"/>
        <v>0</v>
      </c>
      <c r="N28" s="26">
        <f t="shared" si="3"/>
        <v>0</v>
      </c>
      <c r="O28" s="26">
        <f t="shared" si="3"/>
        <v>0</v>
      </c>
      <c r="P28" s="26">
        <f t="shared" si="3"/>
        <v>0</v>
      </c>
      <c r="Q28" s="26">
        <f t="shared" si="3"/>
        <v>0</v>
      </c>
      <c r="R28" s="26">
        <f t="shared" si="3"/>
        <v>0</v>
      </c>
      <c r="S28" s="26">
        <f t="shared" si="3"/>
        <v>0</v>
      </c>
      <c r="T28" s="26">
        <f t="shared" si="3"/>
        <v>0</v>
      </c>
      <c r="U28" s="25">
        <f t="shared" si="3"/>
        <v>0</v>
      </c>
      <c r="V28" s="26">
        <f t="shared" si="3"/>
        <v>0</v>
      </c>
      <c r="W28" t="s">
        <v>42</v>
      </c>
    </row>
    <row r="29" spans="1:23" x14ac:dyDescent="0.2">
      <c r="B29" s="19" t="s">
        <v>43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V29" s="7"/>
      <c r="W29" t="s">
        <v>44</v>
      </c>
    </row>
    <row r="30" spans="1:23" x14ac:dyDescent="0.2">
      <c r="B30" s="19" t="s">
        <v>25</v>
      </c>
      <c r="E30" s="6"/>
      <c r="F30" s="6"/>
      <c r="G30" s="6"/>
      <c r="H30" s="26">
        <f>H28-H29</f>
        <v>0</v>
      </c>
      <c r="I30" s="26">
        <f t="shared" ref="I30:S30" si="4">I28-I29</f>
        <v>0</v>
      </c>
      <c r="J30" s="26">
        <f t="shared" si="4"/>
        <v>0</v>
      </c>
      <c r="K30" s="26">
        <f t="shared" si="4"/>
        <v>0</v>
      </c>
      <c r="L30" s="26">
        <f t="shared" si="4"/>
        <v>0</v>
      </c>
      <c r="M30" s="26">
        <f t="shared" si="4"/>
        <v>0</v>
      </c>
      <c r="N30" s="26">
        <f t="shared" si="4"/>
        <v>0</v>
      </c>
      <c r="O30" s="26">
        <f t="shared" si="4"/>
        <v>0</v>
      </c>
      <c r="P30" s="26">
        <f t="shared" si="4"/>
        <v>0</v>
      </c>
      <c r="Q30" s="26">
        <f t="shared" si="4"/>
        <v>0</v>
      </c>
      <c r="R30" s="26">
        <f t="shared" si="4"/>
        <v>0</v>
      </c>
      <c r="S30" s="26">
        <f t="shared" si="4"/>
        <v>0</v>
      </c>
      <c r="T30" s="6"/>
      <c r="V30" s="27">
        <f>V28-V29</f>
        <v>0</v>
      </c>
    </row>
    <row r="31" spans="1:23" x14ac:dyDescent="0.2">
      <c r="A31" s="10"/>
      <c r="B31" s="2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3"/>
      <c r="V31" s="10"/>
    </row>
    <row r="32" spans="1:23" x14ac:dyDescent="0.2">
      <c r="B32" s="19" t="s">
        <v>45</v>
      </c>
    </row>
    <row r="34" spans="2:22" x14ac:dyDescent="0.2">
      <c r="B34" s="21" t="s">
        <v>2</v>
      </c>
      <c r="C34" t="s">
        <v>3</v>
      </c>
      <c r="D34" t="s">
        <v>4</v>
      </c>
      <c r="E34" t="s">
        <v>5</v>
      </c>
      <c r="G34" t="s">
        <v>6</v>
      </c>
    </row>
    <row r="35" spans="2:22" x14ac:dyDescent="0.2">
      <c r="B35" s="22" t="s">
        <v>8</v>
      </c>
      <c r="C35" s="1" t="s">
        <v>8</v>
      </c>
      <c r="D35" s="1" t="s">
        <v>9</v>
      </c>
      <c r="E35" s="1" t="s">
        <v>10</v>
      </c>
      <c r="F35" s="1" t="s">
        <v>11</v>
      </c>
      <c r="G35" s="1" t="s">
        <v>12</v>
      </c>
      <c r="H35" s="1" t="s">
        <v>13</v>
      </c>
      <c r="I35" s="1" t="s">
        <v>14</v>
      </c>
      <c r="J35" s="1" t="s">
        <v>15</v>
      </c>
      <c r="K35" s="1" t="s">
        <v>16</v>
      </c>
      <c r="L35" s="1" t="s">
        <v>17</v>
      </c>
      <c r="M35" s="1" t="s">
        <v>18</v>
      </c>
      <c r="N35" s="1" t="s">
        <v>19</v>
      </c>
      <c r="O35" s="1" t="s">
        <v>20</v>
      </c>
      <c r="P35" s="1" t="s">
        <v>21</v>
      </c>
      <c r="Q35" s="1" t="s">
        <v>22</v>
      </c>
      <c r="R35" s="1" t="s">
        <v>23</v>
      </c>
      <c r="S35" s="1" t="s">
        <v>24</v>
      </c>
      <c r="T35" s="1" t="s">
        <v>25</v>
      </c>
      <c r="U35" s="12" t="s">
        <v>46</v>
      </c>
      <c r="V35" s="2" t="s">
        <v>25</v>
      </c>
    </row>
    <row r="36" spans="2:22" x14ac:dyDescent="0.2">
      <c r="D36" s="3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4">
        <f t="shared" ref="T36:T56" si="5">G36-SUM(H36:S36)</f>
        <v>0</v>
      </c>
      <c r="U36" s="11"/>
      <c r="V36" s="26">
        <f>T36-U36</f>
        <v>0</v>
      </c>
    </row>
    <row r="37" spans="2:22" x14ac:dyDescent="0.2">
      <c r="D37" s="3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4">
        <f t="shared" si="5"/>
        <v>0</v>
      </c>
      <c r="U37" s="11"/>
      <c r="V37" s="26">
        <f t="shared" ref="V37:V56" si="6">T37-U37</f>
        <v>0</v>
      </c>
    </row>
    <row r="38" spans="2:22" x14ac:dyDescent="0.2">
      <c r="D38" s="3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4">
        <f t="shared" si="5"/>
        <v>0</v>
      </c>
      <c r="U38" s="11"/>
      <c r="V38" s="26">
        <f t="shared" si="6"/>
        <v>0</v>
      </c>
    </row>
    <row r="39" spans="2:22" x14ac:dyDescent="0.2">
      <c r="D39" s="3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4">
        <f t="shared" si="5"/>
        <v>0</v>
      </c>
      <c r="U39" s="11"/>
      <c r="V39" s="26">
        <f t="shared" si="6"/>
        <v>0</v>
      </c>
    </row>
    <row r="40" spans="2:22" x14ac:dyDescent="0.2">
      <c r="D40" s="3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4">
        <f t="shared" si="5"/>
        <v>0</v>
      </c>
      <c r="U40" s="11"/>
      <c r="V40" s="26">
        <f t="shared" si="6"/>
        <v>0</v>
      </c>
    </row>
    <row r="41" spans="2:22" x14ac:dyDescent="0.2">
      <c r="D41" s="3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4">
        <f t="shared" si="5"/>
        <v>0</v>
      </c>
      <c r="U41" s="11"/>
      <c r="V41" s="26">
        <f t="shared" si="6"/>
        <v>0</v>
      </c>
    </row>
    <row r="42" spans="2:22" x14ac:dyDescent="0.2">
      <c r="D42" s="3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4">
        <f t="shared" si="5"/>
        <v>0</v>
      </c>
      <c r="U42" s="11"/>
      <c r="V42" s="26">
        <f t="shared" si="6"/>
        <v>0</v>
      </c>
    </row>
    <row r="43" spans="2:22" x14ac:dyDescent="0.2">
      <c r="D43" s="3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4">
        <f t="shared" si="5"/>
        <v>0</v>
      </c>
      <c r="U43" s="11"/>
      <c r="V43" s="26">
        <f t="shared" si="6"/>
        <v>0</v>
      </c>
    </row>
    <row r="44" spans="2:22" x14ac:dyDescent="0.2">
      <c r="D44" s="3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4">
        <f t="shared" si="5"/>
        <v>0</v>
      </c>
      <c r="U44" s="11"/>
      <c r="V44" s="26">
        <f t="shared" si="6"/>
        <v>0</v>
      </c>
    </row>
    <row r="45" spans="2:22" x14ac:dyDescent="0.2">
      <c r="D45" s="3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4">
        <f t="shared" si="5"/>
        <v>0</v>
      </c>
      <c r="U45" s="11"/>
      <c r="V45" s="26">
        <f t="shared" si="6"/>
        <v>0</v>
      </c>
    </row>
    <row r="46" spans="2:22" x14ac:dyDescent="0.2">
      <c r="D46" s="3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4">
        <f t="shared" si="5"/>
        <v>0</v>
      </c>
      <c r="U46" s="11"/>
      <c r="V46" s="26">
        <f t="shared" si="6"/>
        <v>0</v>
      </c>
    </row>
    <row r="47" spans="2:22" x14ac:dyDescent="0.2">
      <c r="D47" s="3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>
        <f t="shared" si="5"/>
        <v>0</v>
      </c>
      <c r="U47" s="5"/>
      <c r="V47" s="26">
        <f t="shared" si="6"/>
        <v>0</v>
      </c>
    </row>
    <row r="48" spans="2:22" x14ac:dyDescent="0.2">
      <c r="D48" s="3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>
        <f t="shared" si="5"/>
        <v>0</v>
      </c>
      <c r="U48" s="5"/>
      <c r="V48" s="26">
        <f t="shared" si="6"/>
        <v>0</v>
      </c>
    </row>
    <row r="49" spans="2:22" x14ac:dyDescent="0.2">
      <c r="D49" s="3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>
        <f t="shared" si="5"/>
        <v>0</v>
      </c>
      <c r="U49" s="5"/>
      <c r="V49" s="26">
        <f t="shared" si="6"/>
        <v>0</v>
      </c>
    </row>
    <row r="50" spans="2:22" x14ac:dyDescent="0.2">
      <c r="D50" s="3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4">
        <f t="shared" si="5"/>
        <v>0</v>
      </c>
      <c r="U50" s="11"/>
      <c r="V50" s="26">
        <f t="shared" si="6"/>
        <v>0</v>
      </c>
    </row>
    <row r="51" spans="2:22" x14ac:dyDescent="0.2">
      <c r="D51" s="3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4">
        <f t="shared" si="5"/>
        <v>0</v>
      </c>
      <c r="U51" s="11"/>
      <c r="V51" s="26">
        <f t="shared" si="6"/>
        <v>0</v>
      </c>
    </row>
    <row r="52" spans="2:22" x14ac:dyDescent="0.2">
      <c r="D52" s="3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4">
        <f t="shared" si="5"/>
        <v>0</v>
      </c>
      <c r="U52" s="11"/>
      <c r="V52" s="26">
        <f t="shared" si="6"/>
        <v>0</v>
      </c>
    </row>
    <row r="53" spans="2:22" x14ac:dyDescent="0.2">
      <c r="D53" s="3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4">
        <f t="shared" si="5"/>
        <v>0</v>
      </c>
      <c r="U53" s="11"/>
      <c r="V53" s="26">
        <f t="shared" si="6"/>
        <v>0</v>
      </c>
    </row>
    <row r="54" spans="2:22" x14ac:dyDescent="0.2">
      <c r="D54" s="3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4">
        <f t="shared" si="5"/>
        <v>0</v>
      </c>
      <c r="U54" s="11"/>
      <c r="V54" s="26">
        <f t="shared" si="6"/>
        <v>0</v>
      </c>
    </row>
    <row r="55" spans="2:22" x14ac:dyDescent="0.2">
      <c r="D55" s="3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4">
        <f t="shared" si="5"/>
        <v>0</v>
      </c>
      <c r="U55" s="11"/>
      <c r="V55" s="26">
        <f t="shared" si="6"/>
        <v>0</v>
      </c>
    </row>
    <row r="56" spans="2:22" x14ac:dyDescent="0.2">
      <c r="D56" s="3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4">
        <f t="shared" si="5"/>
        <v>0</v>
      </c>
      <c r="U56" s="11"/>
      <c r="V56" s="26">
        <f t="shared" si="6"/>
        <v>0</v>
      </c>
    </row>
    <row r="57" spans="2:22" x14ac:dyDescent="0.2"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V57" s="4"/>
    </row>
    <row r="58" spans="2:22" x14ac:dyDescent="0.2">
      <c r="B58" s="19" t="s">
        <v>47</v>
      </c>
      <c r="E58" s="26">
        <f t="shared" ref="E58:U58" si="7">SUM(E36:E57)</f>
        <v>0</v>
      </c>
      <c r="F58" s="26">
        <f t="shared" si="7"/>
        <v>0</v>
      </c>
      <c r="G58" s="26">
        <f t="shared" si="7"/>
        <v>0</v>
      </c>
      <c r="H58" s="25">
        <f t="shared" si="7"/>
        <v>0</v>
      </c>
      <c r="I58" s="25">
        <f t="shared" si="7"/>
        <v>0</v>
      </c>
      <c r="J58" s="25">
        <f t="shared" si="7"/>
        <v>0</v>
      </c>
      <c r="K58" s="25">
        <f t="shared" si="7"/>
        <v>0</v>
      </c>
      <c r="L58" s="25">
        <f t="shared" si="7"/>
        <v>0</v>
      </c>
      <c r="M58" s="25">
        <f t="shared" si="7"/>
        <v>0</v>
      </c>
      <c r="N58" s="25">
        <f t="shared" si="7"/>
        <v>0</v>
      </c>
      <c r="O58" s="25">
        <f t="shared" si="7"/>
        <v>0</v>
      </c>
      <c r="P58" s="25">
        <f t="shared" si="7"/>
        <v>0</v>
      </c>
      <c r="Q58" s="25">
        <f t="shared" si="7"/>
        <v>0</v>
      </c>
      <c r="R58" s="25">
        <f t="shared" si="7"/>
        <v>0</v>
      </c>
      <c r="S58" s="25">
        <f t="shared" si="7"/>
        <v>0</v>
      </c>
      <c r="T58" s="25">
        <f t="shared" si="7"/>
        <v>0</v>
      </c>
      <c r="U58" s="25">
        <f t="shared" si="7"/>
        <v>0</v>
      </c>
      <c r="V58" s="4"/>
    </row>
    <row r="59" spans="2:22" x14ac:dyDescent="0.2"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V59" s="4"/>
    </row>
    <row r="60" spans="2:22" x14ac:dyDescent="0.2"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V60" s="4"/>
    </row>
    <row r="61" spans="2:22" x14ac:dyDescent="0.2">
      <c r="B61" s="21" t="s">
        <v>48</v>
      </c>
      <c r="H61" s="26">
        <f t="shared" ref="H61:S61" si="8">H28</f>
        <v>0</v>
      </c>
      <c r="I61" s="26">
        <f t="shared" si="8"/>
        <v>0</v>
      </c>
      <c r="J61" s="26">
        <f t="shared" si="8"/>
        <v>0</v>
      </c>
      <c r="K61" s="26">
        <f t="shared" si="8"/>
        <v>0</v>
      </c>
      <c r="L61" s="26">
        <f t="shared" si="8"/>
        <v>0</v>
      </c>
      <c r="M61" s="26">
        <f t="shared" si="8"/>
        <v>0</v>
      </c>
      <c r="N61" s="26">
        <f t="shared" si="8"/>
        <v>0</v>
      </c>
      <c r="O61" s="26">
        <f t="shared" si="8"/>
        <v>0</v>
      </c>
      <c r="P61" s="26">
        <f t="shared" si="8"/>
        <v>0</v>
      </c>
      <c r="Q61" s="26">
        <f t="shared" si="8"/>
        <v>0</v>
      </c>
      <c r="R61" s="26">
        <f t="shared" si="8"/>
        <v>0</v>
      </c>
      <c r="S61" s="26">
        <f t="shared" si="8"/>
        <v>0</v>
      </c>
    </row>
    <row r="62" spans="2:22" x14ac:dyDescent="0.2">
      <c r="B62" s="21" t="s">
        <v>47</v>
      </c>
      <c r="H62" s="26">
        <f t="shared" ref="H62:S62" si="9">H58</f>
        <v>0</v>
      </c>
      <c r="I62" s="26">
        <f t="shared" si="9"/>
        <v>0</v>
      </c>
      <c r="J62" s="26">
        <f t="shared" si="9"/>
        <v>0</v>
      </c>
      <c r="K62" s="26">
        <f t="shared" si="9"/>
        <v>0</v>
      </c>
      <c r="L62" s="26">
        <f t="shared" si="9"/>
        <v>0</v>
      </c>
      <c r="M62" s="26">
        <f t="shared" si="9"/>
        <v>0</v>
      </c>
      <c r="N62" s="26">
        <f t="shared" si="9"/>
        <v>0</v>
      </c>
      <c r="O62" s="26">
        <f t="shared" si="9"/>
        <v>0</v>
      </c>
      <c r="P62" s="26">
        <f t="shared" si="9"/>
        <v>0</v>
      </c>
      <c r="Q62" s="26">
        <f t="shared" si="9"/>
        <v>0</v>
      </c>
      <c r="R62" s="26">
        <f t="shared" si="9"/>
        <v>0</v>
      </c>
      <c r="S62" s="26">
        <f t="shared" si="9"/>
        <v>0</v>
      </c>
    </row>
    <row r="63" spans="2:22" x14ac:dyDescent="0.2">
      <c r="B63" s="21" t="s">
        <v>25</v>
      </c>
      <c r="H63" s="29">
        <f>H61-H62</f>
        <v>0</v>
      </c>
      <c r="I63" s="29">
        <f t="shared" ref="I63:S63" si="10">I61-I62</f>
        <v>0</v>
      </c>
      <c r="J63" s="29">
        <f t="shared" si="10"/>
        <v>0</v>
      </c>
      <c r="K63" s="29">
        <f t="shared" si="10"/>
        <v>0</v>
      </c>
      <c r="L63" s="29">
        <f t="shared" si="10"/>
        <v>0</v>
      </c>
      <c r="M63" s="29">
        <f t="shared" si="10"/>
        <v>0</v>
      </c>
      <c r="N63" s="29">
        <f t="shared" si="10"/>
        <v>0</v>
      </c>
      <c r="O63" s="29">
        <f t="shared" si="10"/>
        <v>0</v>
      </c>
      <c r="P63" s="29">
        <f t="shared" si="10"/>
        <v>0</v>
      </c>
      <c r="Q63" s="29">
        <f t="shared" si="10"/>
        <v>0</v>
      </c>
      <c r="R63" s="29">
        <f t="shared" si="10"/>
        <v>0</v>
      </c>
      <c r="S63" s="29">
        <f t="shared" si="10"/>
        <v>0</v>
      </c>
      <c r="T63" s="26">
        <f>SUM(H63:S63)</f>
        <v>0</v>
      </c>
    </row>
    <row r="64" spans="2:22" x14ac:dyDescent="0.2">
      <c r="B64" s="21" t="s">
        <v>49</v>
      </c>
      <c r="T64" s="8"/>
      <c r="U64" s="4" t="s">
        <v>50</v>
      </c>
    </row>
    <row r="65" spans="2:21" x14ac:dyDescent="0.2">
      <c r="B65" s="24" t="s">
        <v>51</v>
      </c>
      <c r="T65" s="25">
        <f>T63-T64</f>
        <v>0</v>
      </c>
      <c r="U65" s="4" t="s">
        <v>52</v>
      </c>
    </row>
    <row r="66" spans="2:21" x14ac:dyDescent="0.2">
      <c r="T66" s="4"/>
    </row>
  </sheetData>
  <mergeCells count="1">
    <mergeCell ref="H4:S4"/>
  </mergeCells>
  <pageMargins left="0.2" right="0.2" top="0.25" bottom="0.2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12B3-C6EC-4F51-A568-CCCA5FD8C699}">
  <sheetPr>
    <tabColor rgb="FF7030A0"/>
    <pageSetUpPr fitToPage="1"/>
  </sheetPr>
  <dimension ref="A1:W66"/>
  <sheetViews>
    <sheetView zoomScale="85" zoomScaleNormal="85" workbookViewId="0">
      <pane xSplit="4" ySplit="5" topLeftCell="E11" activePane="bottomRight" state="frozen"/>
      <selection pane="topRight"/>
      <selection pane="bottomLeft"/>
      <selection pane="bottomRight" activeCell="U44" sqref="U44"/>
    </sheetView>
  </sheetViews>
  <sheetFormatPr baseColWidth="10" defaultColWidth="8.83203125" defaultRowHeight="15" x14ac:dyDescent="0.2"/>
  <cols>
    <col min="1" max="1" width="4.6640625" customWidth="1"/>
    <col min="2" max="2" width="21.6640625" style="21" customWidth="1"/>
    <col min="3" max="3" width="9.5" bestFit="1" customWidth="1"/>
    <col min="4" max="4" width="9.5" customWidth="1"/>
    <col min="5" max="5" width="14.33203125" bestFit="1" customWidth="1"/>
    <col min="6" max="6" width="13.83203125" customWidth="1"/>
    <col min="7" max="7" width="20.5" bestFit="1" customWidth="1"/>
    <col min="8" max="8" width="11.1640625" bestFit="1" customWidth="1"/>
    <col min="9" max="9" width="11.6640625" customWidth="1"/>
    <col min="10" max="10" width="11.1640625" bestFit="1" customWidth="1"/>
    <col min="11" max="11" width="11" customWidth="1"/>
    <col min="12" max="12" width="11.5" customWidth="1"/>
    <col min="13" max="13" width="11.33203125" customWidth="1"/>
    <col min="14" max="14" width="13.5" customWidth="1"/>
    <col min="15" max="16" width="11.1640625" bestFit="1" customWidth="1"/>
    <col min="17" max="17" width="11.5" customWidth="1"/>
    <col min="18" max="18" width="10.83203125" customWidth="1"/>
    <col min="19" max="19" width="10.33203125" bestFit="1" customWidth="1"/>
    <col min="20" max="20" width="11.5" bestFit="1" customWidth="1"/>
    <col min="21" max="21" width="12.1640625" style="4" customWidth="1"/>
    <col min="22" max="22" width="11.5" bestFit="1" customWidth="1"/>
  </cols>
  <sheetData>
    <row r="1" spans="2:23" x14ac:dyDescent="0.2">
      <c r="B1" s="19" t="s">
        <v>0</v>
      </c>
    </row>
    <row r="2" spans="2:23" x14ac:dyDescent="0.2">
      <c r="B2" s="20" t="s">
        <v>1</v>
      </c>
    </row>
    <row r="4" spans="2:23" x14ac:dyDescent="0.2">
      <c r="B4" s="21" t="s">
        <v>2</v>
      </c>
      <c r="C4" t="s">
        <v>3</v>
      </c>
      <c r="D4" t="s">
        <v>4</v>
      </c>
      <c r="E4" t="s">
        <v>5</v>
      </c>
      <c r="G4" t="s">
        <v>6</v>
      </c>
      <c r="H4" s="30" t="s">
        <v>7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2:23" x14ac:dyDescent="0.2">
      <c r="B5" s="22" t="s">
        <v>8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1" t="s">
        <v>16</v>
      </c>
      <c r="L5" s="1" t="s">
        <v>17</v>
      </c>
      <c r="M5" s="1" t="s">
        <v>18</v>
      </c>
      <c r="N5" s="1" t="s">
        <v>19</v>
      </c>
      <c r="O5" s="1" t="s">
        <v>20</v>
      </c>
      <c r="P5" s="1" t="s">
        <v>21</v>
      </c>
      <c r="Q5" s="1" t="s">
        <v>22</v>
      </c>
      <c r="R5" s="1" t="s">
        <v>23</v>
      </c>
      <c r="S5" s="1" t="s">
        <v>24</v>
      </c>
      <c r="T5" s="1" t="s">
        <v>25</v>
      </c>
      <c r="U5" s="12" t="s">
        <v>26</v>
      </c>
      <c r="V5" s="2" t="s">
        <v>25</v>
      </c>
    </row>
    <row r="6" spans="2:23" x14ac:dyDescent="0.2">
      <c r="B6" s="21">
        <v>1</v>
      </c>
      <c r="C6" t="s">
        <v>53</v>
      </c>
      <c r="D6" s="3">
        <v>44378</v>
      </c>
      <c r="E6" s="4">
        <f>33*12</f>
        <v>396</v>
      </c>
      <c r="F6" s="4"/>
      <c r="G6" s="25">
        <f>E6+F6</f>
        <v>396</v>
      </c>
      <c r="H6" s="4"/>
      <c r="I6" s="14"/>
      <c r="J6" s="4"/>
      <c r="K6" s="4"/>
      <c r="L6" s="4"/>
      <c r="M6" s="4"/>
      <c r="N6" s="4"/>
      <c r="O6" s="4"/>
      <c r="P6" s="4"/>
      <c r="Q6" s="4"/>
      <c r="R6" s="4"/>
      <c r="S6" s="4"/>
      <c r="T6" s="25">
        <f t="shared" ref="T6:T27" si="0">G6-SUM(H6:S6)</f>
        <v>396</v>
      </c>
      <c r="U6" s="11">
        <f>15.23*26</f>
        <v>395.98</v>
      </c>
      <c r="V6" s="26">
        <f>T6-U6</f>
        <v>1.999999999998181E-2</v>
      </c>
      <c r="W6" t="s">
        <v>27</v>
      </c>
    </row>
    <row r="7" spans="2:23" ht="18" customHeight="1" x14ac:dyDescent="0.2">
      <c r="B7" s="21">
        <v>2</v>
      </c>
      <c r="C7" t="s">
        <v>62</v>
      </c>
      <c r="D7" s="3">
        <v>44378</v>
      </c>
      <c r="E7" s="4">
        <f>(33+44+7)*12</f>
        <v>1008</v>
      </c>
      <c r="F7" s="4"/>
      <c r="G7" s="25">
        <f t="shared" ref="G7:G26" si="1">E7+F7</f>
        <v>1008</v>
      </c>
      <c r="H7" s="4"/>
      <c r="I7" s="16"/>
      <c r="J7" s="4"/>
      <c r="K7" s="4"/>
      <c r="L7" s="4"/>
      <c r="M7" s="4"/>
      <c r="N7" s="4"/>
      <c r="O7" s="9"/>
      <c r="P7" s="9"/>
      <c r="Q7" s="9"/>
      <c r="R7" s="9"/>
      <c r="S7" s="9"/>
      <c r="T7" s="25">
        <f t="shared" si="0"/>
        <v>1008</v>
      </c>
      <c r="U7" s="11">
        <f>(15.23+20.31+2.77+0.46)*26</f>
        <v>1008.0200000000001</v>
      </c>
      <c r="V7" s="26">
        <f t="shared" ref="V7:V26" si="2">T7-U7</f>
        <v>-2.0000000000095497E-2</v>
      </c>
      <c r="W7" t="s">
        <v>76</v>
      </c>
    </row>
    <row r="8" spans="2:23" x14ac:dyDescent="0.2">
      <c r="B8" s="21">
        <v>3</v>
      </c>
      <c r="C8" t="s">
        <v>54</v>
      </c>
      <c r="D8" s="3">
        <v>44378</v>
      </c>
      <c r="E8" s="4">
        <f>33*12</f>
        <v>396</v>
      </c>
      <c r="F8" s="4"/>
      <c r="G8" s="25">
        <f t="shared" si="1"/>
        <v>396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5">
        <f t="shared" si="0"/>
        <v>396</v>
      </c>
      <c r="U8" s="11">
        <f>15.23*26</f>
        <v>395.98</v>
      </c>
      <c r="V8" s="26">
        <f t="shared" si="2"/>
        <v>1.999999999998181E-2</v>
      </c>
      <c r="W8" t="s">
        <v>27</v>
      </c>
    </row>
    <row r="9" spans="2:23" x14ac:dyDescent="0.2">
      <c r="B9" s="21">
        <v>4</v>
      </c>
      <c r="C9" t="s">
        <v>63</v>
      </c>
      <c r="D9" s="3">
        <v>44378</v>
      </c>
      <c r="E9" s="4">
        <f>(33+23+712+7)*12</f>
        <v>9300</v>
      </c>
      <c r="F9" s="4"/>
      <c r="G9" s="25">
        <f t="shared" si="1"/>
        <v>9300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25">
        <f t="shared" si="0"/>
        <v>9300</v>
      </c>
      <c r="U9" s="11">
        <f>(324.47+33.23)*26</f>
        <v>9300.2000000000007</v>
      </c>
      <c r="V9" s="26">
        <f t="shared" si="2"/>
        <v>-0.2000000000007276</v>
      </c>
      <c r="W9" t="s">
        <v>29</v>
      </c>
    </row>
    <row r="10" spans="2:23" x14ac:dyDescent="0.2">
      <c r="B10" s="21">
        <v>5</v>
      </c>
      <c r="C10" t="s">
        <v>64</v>
      </c>
      <c r="D10" s="15">
        <v>44440</v>
      </c>
      <c r="E10" s="4">
        <f>(33+59+361+7)*10</f>
        <v>4600</v>
      </c>
      <c r="F10" s="4"/>
      <c r="G10" s="25">
        <f t="shared" si="1"/>
        <v>4600</v>
      </c>
      <c r="H10" s="17"/>
      <c r="I10" s="17"/>
      <c r="J10" s="4"/>
      <c r="K10" s="4"/>
      <c r="L10" s="4"/>
      <c r="M10" s="4"/>
      <c r="N10" s="4"/>
      <c r="O10" s="4"/>
      <c r="P10" s="4"/>
      <c r="Q10" s="4"/>
      <c r="R10" s="4"/>
      <c r="S10" s="4"/>
      <c r="T10" s="25">
        <f t="shared" si="0"/>
        <v>4600</v>
      </c>
      <c r="U10" s="11">
        <f>(15.23+27.23+150+16.62+2.77+0.46)*21</f>
        <v>4458.51</v>
      </c>
      <c r="V10" s="26">
        <f t="shared" si="2"/>
        <v>141.48999999999978</v>
      </c>
      <c r="W10" t="s">
        <v>30</v>
      </c>
    </row>
    <row r="11" spans="2:23" x14ac:dyDescent="0.2">
      <c r="B11" s="21">
        <v>6</v>
      </c>
      <c r="C11" t="s">
        <v>55</v>
      </c>
      <c r="D11" s="15">
        <v>44440</v>
      </c>
      <c r="E11" s="4">
        <f>(33+658)*10</f>
        <v>6910</v>
      </c>
      <c r="F11" s="4"/>
      <c r="G11" s="25">
        <f t="shared" si="1"/>
        <v>6910</v>
      </c>
      <c r="H11" s="17"/>
      <c r="I11" s="17"/>
      <c r="J11" s="4"/>
      <c r="K11" s="4"/>
      <c r="L11" s="4"/>
      <c r="M11" s="4"/>
      <c r="N11" s="4"/>
      <c r="O11" s="4"/>
      <c r="P11" s="4"/>
      <c r="Q11" s="4"/>
      <c r="R11" s="4"/>
      <c r="S11" s="4"/>
      <c r="T11" s="25">
        <f t="shared" si="0"/>
        <v>6910</v>
      </c>
      <c r="U11" s="11">
        <f>(15.23+273.23+30.46)*21</f>
        <v>6697.3200000000006</v>
      </c>
      <c r="V11" s="26">
        <f t="shared" si="2"/>
        <v>212.67999999999938</v>
      </c>
      <c r="W11" t="s">
        <v>31</v>
      </c>
    </row>
    <row r="12" spans="2:23" x14ac:dyDescent="0.2">
      <c r="B12" s="21">
        <v>7</v>
      </c>
      <c r="C12" t="s">
        <v>65</v>
      </c>
      <c r="D12" s="3">
        <v>44378</v>
      </c>
      <c r="E12" s="9">
        <f>(33+88+1452+15)*12</f>
        <v>19056</v>
      </c>
      <c r="F12" s="9"/>
      <c r="G12" s="25">
        <f t="shared" si="1"/>
        <v>19056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25">
        <f t="shared" si="0"/>
        <v>19056</v>
      </c>
      <c r="U12" s="11">
        <f>(550.62+182.3)*26</f>
        <v>19055.920000000002</v>
      </c>
      <c r="V12" s="26">
        <f t="shared" si="2"/>
        <v>7.9999999998108251E-2</v>
      </c>
      <c r="W12" t="s">
        <v>32</v>
      </c>
    </row>
    <row r="13" spans="2:23" ht="15" customHeight="1" x14ac:dyDescent="0.2">
      <c r="B13" s="21">
        <v>8</v>
      </c>
      <c r="C13" t="s">
        <v>56</v>
      </c>
      <c r="D13" s="3">
        <v>44378</v>
      </c>
      <c r="E13" s="9">
        <f>(33+100+2315+21)*12</f>
        <v>29628</v>
      </c>
      <c r="F13" s="9"/>
      <c r="G13" s="25">
        <f t="shared" si="1"/>
        <v>29628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25">
        <f t="shared" si="0"/>
        <v>29628</v>
      </c>
      <c r="U13" s="11">
        <f>(844.14+295.39)*26</f>
        <v>29627.78</v>
      </c>
      <c r="V13" s="26">
        <f t="shared" si="2"/>
        <v>0.22000000000116415</v>
      </c>
      <c r="W13" t="s">
        <v>33</v>
      </c>
    </row>
    <row r="14" spans="2:23" ht="15" customHeight="1" x14ac:dyDescent="0.2">
      <c r="B14" s="21">
        <v>9</v>
      </c>
      <c r="C14" t="s">
        <v>57</v>
      </c>
      <c r="D14" s="3">
        <v>44593</v>
      </c>
      <c r="E14" s="9">
        <f>33*5</f>
        <v>165</v>
      </c>
      <c r="F14" s="9">
        <v>330</v>
      </c>
      <c r="G14" s="25">
        <f t="shared" si="1"/>
        <v>495</v>
      </c>
      <c r="H14" s="17"/>
      <c r="I14" s="17"/>
      <c r="J14" s="17"/>
      <c r="K14" s="17"/>
      <c r="L14" s="17"/>
      <c r="M14" s="17"/>
      <c r="N14" s="17"/>
      <c r="O14" s="9"/>
      <c r="P14" s="9"/>
      <c r="Q14" s="9"/>
      <c r="R14" s="9"/>
      <c r="S14" s="9"/>
      <c r="T14" s="25">
        <f t="shared" si="0"/>
        <v>495</v>
      </c>
      <c r="U14" s="11">
        <f>(15.23+0.46+2.77+27.23)*10</f>
        <v>456.9</v>
      </c>
      <c r="V14" s="26">
        <f t="shared" si="2"/>
        <v>38.100000000000023</v>
      </c>
      <c r="W14" t="s">
        <v>78</v>
      </c>
    </row>
    <row r="15" spans="2:23" ht="15" customHeight="1" x14ac:dyDescent="0.2">
      <c r="B15" s="21">
        <v>10</v>
      </c>
      <c r="C15" t="s">
        <v>58</v>
      </c>
      <c r="D15" s="15">
        <v>44440</v>
      </c>
      <c r="E15" s="9">
        <f>33*10</f>
        <v>330</v>
      </c>
      <c r="F15" s="9"/>
      <c r="G15" s="25">
        <f t="shared" si="1"/>
        <v>330</v>
      </c>
      <c r="H15" s="17"/>
      <c r="I15" s="17"/>
      <c r="J15" s="9"/>
      <c r="K15" s="9"/>
      <c r="L15" s="9"/>
      <c r="M15" s="9"/>
      <c r="N15" s="9"/>
      <c r="O15" s="9"/>
      <c r="P15" s="9"/>
      <c r="Q15" s="9"/>
      <c r="R15" s="9"/>
      <c r="S15" s="9"/>
      <c r="T15" s="25">
        <f t="shared" si="0"/>
        <v>330</v>
      </c>
      <c r="U15" s="11">
        <f>15.23*21</f>
        <v>319.83</v>
      </c>
      <c r="V15" s="26">
        <f t="shared" si="2"/>
        <v>10.170000000000016</v>
      </c>
      <c r="W15" t="s">
        <v>35</v>
      </c>
    </row>
    <row r="16" spans="2:23" x14ac:dyDescent="0.2">
      <c r="B16" s="21">
        <v>11</v>
      </c>
      <c r="C16" t="s">
        <v>59</v>
      </c>
      <c r="D16" s="3">
        <v>44378</v>
      </c>
      <c r="E16" s="4">
        <f>(33+59+1.2+658+7)*12</f>
        <v>9098.4000000000015</v>
      </c>
      <c r="F16" s="4"/>
      <c r="G16" s="25">
        <f>E16+F16</f>
        <v>9098.4000000000015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25">
        <f t="shared" si="0"/>
        <v>9098.4000000000015</v>
      </c>
      <c r="U16" s="11">
        <f>(318.46+31.47)*26</f>
        <v>9098.1799999999985</v>
      </c>
      <c r="V16" s="26">
        <f>T16-U16</f>
        <v>0.22000000000298314</v>
      </c>
      <c r="W16" t="s">
        <v>33</v>
      </c>
    </row>
    <row r="17" spans="1:23" ht="15" customHeight="1" x14ac:dyDescent="0.2">
      <c r="B17" s="21">
        <v>12</v>
      </c>
      <c r="C17" t="s">
        <v>66</v>
      </c>
      <c r="D17" s="3">
        <v>44378</v>
      </c>
      <c r="E17" s="9">
        <f>(33+59+712+7)*12</f>
        <v>9732</v>
      </c>
      <c r="F17" s="9"/>
      <c r="G17" s="25">
        <f>E17+F17</f>
        <v>9732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25">
        <f t="shared" si="0"/>
        <v>9732</v>
      </c>
      <c r="U17" s="11">
        <f>(341.08+33.23)*26</f>
        <v>9732.06</v>
      </c>
      <c r="V17" s="25">
        <f>T17-U17</f>
        <v>-5.9999999999490683E-2</v>
      </c>
      <c r="W17" t="s">
        <v>36</v>
      </c>
    </row>
    <row r="18" spans="1:23" ht="15" customHeight="1" x14ac:dyDescent="0.2">
      <c r="B18" s="21">
        <v>13</v>
      </c>
      <c r="C18" t="s">
        <v>60</v>
      </c>
      <c r="D18" s="15">
        <v>44409</v>
      </c>
      <c r="E18" s="9">
        <f>(641+71+44+6+1+33+13.04)*11</f>
        <v>8899.4399999999987</v>
      </c>
      <c r="F18" s="9"/>
      <c r="G18" s="25">
        <f>E18+F18</f>
        <v>8899.4399999999987</v>
      </c>
      <c r="H18" s="17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25">
        <f t="shared" si="0"/>
        <v>8899.4399999999987</v>
      </c>
      <c r="U18" s="11">
        <f>(295.85+32.77+20.31+2.77+0.46+15.23+6.02)*23</f>
        <v>8588.4299999999985</v>
      </c>
      <c r="V18" s="25">
        <f>T18-U18</f>
        <v>311.01000000000022</v>
      </c>
      <c r="W18" t="s">
        <v>37</v>
      </c>
    </row>
    <row r="19" spans="1:23" ht="15" customHeight="1" x14ac:dyDescent="0.2">
      <c r="B19" s="21">
        <v>14</v>
      </c>
      <c r="C19" t="s">
        <v>69</v>
      </c>
      <c r="D19" s="15">
        <v>44440</v>
      </c>
      <c r="E19" s="9">
        <f>33*10</f>
        <v>330</v>
      </c>
      <c r="F19" s="9"/>
      <c r="G19" s="25">
        <f>E19+F19</f>
        <v>330</v>
      </c>
      <c r="H19" s="17"/>
      <c r="I19" s="17"/>
      <c r="J19" s="9"/>
      <c r="K19" s="9"/>
      <c r="L19" s="9"/>
      <c r="M19" s="9"/>
      <c r="N19" s="9"/>
      <c r="O19" s="9"/>
      <c r="P19" s="9"/>
      <c r="Q19" s="9"/>
      <c r="R19" s="9"/>
      <c r="S19" s="9"/>
      <c r="T19" s="25">
        <f t="shared" si="0"/>
        <v>330</v>
      </c>
      <c r="U19" s="11">
        <f>15.23*21</f>
        <v>319.83</v>
      </c>
      <c r="V19" s="25">
        <f>T19-U19</f>
        <v>10.170000000000016</v>
      </c>
      <c r="W19" t="s">
        <v>35</v>
      </c>
    </row>
    <row r="20" spans="1:23" x14ac:dyDescent="0.2">
      <c r="B20" s="21">
        <v>15</v>
      </c>
      <c r="C20" t="s">
        <v>67</v>
      </c>
      <c r="D20" s="3">
        <v>44378</v>
      </c>
      <c r="E20" s="4">
        <f>(33+34+1485+14)*12</f>
        <v>18792</v>
      </c>
      <c r="F20" s="4"/>
      <c r="G20" s="25">
        <f t="shared" si="1"/>
        <v>18792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25">
        <f t="shared" si="0"/>
        <v>18792</v>
      </c>
      <c r="U20" s="11">
        <f>(545.07+177.69)*26</f>
        <v>18791.759999999998</v>
      </c>
      <c r="V20" s="26">
        <f t="shared" si="2"/>
        <v>0.24000000000160071</v>
      </c>
      <c r="W20" t="s">
        <v>38</v>
      </c>
    </row>
    <row r="21" spans="1:23" x14ac:dyDescent="0.2">
      <c r="B21" s="21">
        <v>16</v>
      </c>
      <c r="C21" t="s">
        <v>68</v>
      </c>
      <c r="D21" s="3">
        <v>44378</v>
      </c>
      <c r="E21" s="4">
        <f>(33+88+1375+14)*12</f>
        <v>18120</v>
      </c>
      <c r="F21" s="4"/>
      <c r="G21" s="25">
        <f t="shared" si="1"/>
        <v>18120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25">
        <f t="shared" si="0"/>
        <v>18120</v>
      </c>
      <c r="U21" s="11">
        <f>(523.4+173.53)*26</f>
        <v>18120.18</v>
      </c>
      <c r="V21" s="26">
        <f t="shared" si="2"/>
        <v>-0.18000000000029104</v>
      </c>
      <c r="W21" t="s">
        <v>39</v>
      </c>
    </row>
    <row r="22" spans="1:23" x14ac:dyDescent="0.2">
      <c r="B22" s="21">
        <v>17</v>
      </c>
      <c r="C22" t="s">
        <v>70</v>
      </c>
      <c r="D22" s="3">
        <v>44378</v>
      </c>
      <c r="E22" s="4">
        <f>33*12</f>
        <v>396</v>
      </c>
      <c r="F22" s="4"/>
      <c r="G22" s="25">
        <f t="shared" si="1"/>
        <v>396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25">
        <f t="shared" si="0"/>
        <v>396</v>
      </c>
      <c r="U22" s="11">
        <f>15.23*26</f>
        <v>395.98</v>
      </c>
      <c r="V22" s="26">
        <f t="shared" si="2"/>
        <v>1.999999999998181E-2</v>
      </c>
      <c r="W22" t="s">
        <v>27</v>
      </c>
    </row>
    <row r="23" spans="1:23" x14ac:dyDescent="0.2">
      <c r="B23" s="21">
        <v>18</v>
      </c>
      <c r="C23" t="s">
        <v>71</v>
      </c>
      <c r="D23" s="15">
        <v>44440</v>
      </c>
      <c r="E23" s="9">
        <f>(325+36+23+33)*10</f>
        <v>4170</v>
      </c>
      <c r="F23" s="4"/>
      <c r="G23" s="25">
        <f t="shared" si="1"/>
        <v>4170</v>
      </c>
      <c r="H23" s="17"/>
      <c r="I23" s="17"/>
      <c r="J23" s="4"/>
      <c r="K23" s="4"/>
      <c r="L23" s="4"/>
      <c r="M23" s="4"/>
      <c r="N23" s="4"/>
      <c r="O23" s="4"/>
      <c r="P23" s="4"/>
      <c r="Q23" s="4"/>
      <c r="R23" s="4"/>
      <c r="S23" s="4"/>
      <c r="T23" s="25">
        <f t="shared" si="0"/>
        <v>4170</v>
      </c>
      <c r="U23" s="11">
        <f>(150+16.62+10.62+15.23)*21</f>
        <v>4041.87</v>
      </c>
      <c r="V23" s="26">
        <f t="shared" si="2"/>
        <v>128.13000000000011</v>
      </c>
      <c r="W23" t="s">
        <v>40</v>
      </c>
    </row>
    <row r="24" spans="1:23" x14ac:dyDescent="0.2">
      <c r="B24" s="21">
        <v>19</v>
      </c>
      <c r="C24" t="s">
        <v>72</v>
      </c>
      <c r="D24" s="3">
        <v>44378</v>
      </c>
      <c r="E24" s="4">
        <f>33*12</f>
        <v>396</v>
      </c>
      <c r="F24" s="4"/>
      <c r="G24" s="25">
        <f t="shared" si="1"/>
        <v>396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25">
        <f t="shared" si="0"/>
        <v>396</v>
      </c>
      <c r="U24" s="11">
        <f>15.23*26</f>
        <v>395.98</v>
      </c>
      <c r="V24" s="26">
        <f t="shared" si="2"/>
        <v>1.999999999998181E-2</v>
      </c>
      <c r="W24" t="s">
        <v>27</v>
      </c>
    </row>
    <row r="25" spans="1:23" x14ac:dyDescent="0.2">
      <c r="B25" s="21">
        <v>20</v>
      </c>
      <c r="C25" t="s">
        <v>73</v>
      </c>
      <c r="D25" s="15">
        <v>44440</v>
      </c>
      <c r="E25" s="4">
        <f>(9.5+59+712+7+33)*10</f>
        <v>8205</v>
      </c>
      <c r="F25" s="4"/>
      <c r="G25" s="25">
        <f t="shared" si="1"/>
        <v>8205</v>
      </c>
      <c r="H25" s="17"/>
      <c r="I25" s="17"/>
      <c r="J25" s="4"/>
      <c r="K25" s="4"/>
      <c r="L25" s="4"/>
      <c r="M25" s="4"/>
      <c r="N25" s="4"/>
      <c r="O25" s="4"/>
      <c r="P25" s="9"/>
      <c r="Q25" s="9"/>
      <c r="R25" s="9"/>
      <c r="S25" s="9"/>
      <c r="T25" s="25">
        <f t="shared" si="0"/>
        <v>8205</v>
      </c>
      <c r="U25" s="11">
        <f>(4.38+27.23+295.85+32.77+2.77+0.46+15.23)*21</f>
        <v>7952.49</v>
      </c>
      <c r="V25" s="26">
        <f t="shared" si="2"/>
        <v>252.51000000000022</v>
      </c>
      <c r="W25" t="s">
        <v>77</v>
      </c>
    </row>
    <row r="26" spans="1:23" x14ac:dyDescent="0.2">
      <c r="B26" s="21">
        <v>21</v>
      </c>
      <c r="C26" t="s">
        <v>74</v>
      </c>
      <c r="D26" s="3">
        <v>44378</v>
      </c>
      <c r="E26" s="4">
        <f>(33+62+658+14)*12</f>
        <v>9204</v>
      </c>
      <c r="F26" s="4"/>
      <c r="G26" s="25">
        <f t="shared" si="1"/>
        <v>9204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25">
        <f t="shared" si="0"/>
        <v>9204</v>
      </c>
      <c r="U26" s="11">
        <f>(313.85+40.15)*26</f>
        <v>9204</v>
      </c>
      <c r="V26" s="26">
        <f t="shared" si="2"/>
        <v>0</v>
      </c>
    </row>
    <row r="27" spans="1:23" x14ac:dyDescent="0.2"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>
        <f t="shared" si="0"/>
        <v>0</v>
      </c>
      <c r="U27" s="11"/>
      <c r="V27" s="28"/>
    </row>
    <row r="28" spans="1:23" x14ac:dyDescent="0.2">
      <c r="B28" s="19" t="s">
        <v>41</v>
      </c>
      <c r="E28" s="26">
        <f t="shared" ref="E28:V28" si="3">SUM(E6:E27)</f>
        <v>159131.84</v>
      </c>
      <c r="F28" s="26">
        <f t="shared" si="3"/>
        <v>330</v>
      </c>
      <c r="G28" s="26">
        <f t="shared" si="3"/>
        <v>159461.84</v>
      </c>
      <c r="H28" s="26">
        <f t="shared" si="3"/>
        <v>0</v>
      </c>
      <c r="I28" s="26">
        <f t="shared" si="3"/>
        <v>0</v>
      </c>
      <c r="J28" s="26">
        <f t="shared" si="3"/>
        <v>0</v>
      </c>
      <c r="K28" s="26">
        <f t="shared" si="3"/>
        <v>0</v>
      </c>
      <c r="L28" s="26">
        <f t="shared" si="3"/>
        <v>0</v>
      </c>
      <c r="M28" s="26">
        <f t="shared" si="3"/>
        <v>0</v>
      </c>
      <c r="N28" s="26">
        <f t="shared" si="3"/>
        <v>0</v>
      </c>
      <c r="O28" s="26">
        <f t="shared" si="3"/>
        <v>0</v>
      </c>
      <c r="P28" s="26">
        <f t="shared" si="3"/>
        <v>0</v>
      </c>
      <c r="Q28" s="26">
        <f t="shared" si="3"/>
        <v>0</v>
      </c>
      <c r="R28" s="26">
        <f t="shared" si="3"/>
        <v>0</v>
      </c>
      <c r="S28" s="26">
        <f t="shared" si="3"/>
        <v>0</v>
      </c>
      <c r="T28" s="26">
        <f t="shared" si="3"/>
        <v>159461.84</v>
      </c>
      <c r="U28" s="25">
        <f t="shared" si="3"/>
        <v>158357.19999999998</v>
      </c>
      <c r="V28" s="26">
        <f t="shared" si="3"/>
        <v>1104.6400000000031</v>
      </c>
      <c r="W28" t="s">
        <v>42</v>
      </c>
    </row>
    <row r="29" spans="1:23" x14ac:dyDescent="0.2">
      <c r="B29" s="19" t="s">
        <v>43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V29" s="7">
        <v>1104.6400000000001</v>
      </c>
      <c r="W29" t="s">
        <v>44</v>
      </c>
    </row>
    <row r="30" spans="1:23" x14ac:dyDescent="0.2">
      <c r="B30" s="19" t="s">
        <v>25</v>
      </c>
      <c r="E30" s="6"/>
      <c r="F30" s="6"/>
      <c r="G30" s="6"/>
      <c r="H30" s="26">
        <f>H28-H29</f>
        <v>0</v>
      </c>
      <c r="I30" s="26">
        <f t="shared" ref="I30" si="4">I28-I29</f>
        <v>0</v>
      </c>
      <c r="J30" s="26">
        <f t="shared" ref="J30:S30" si="5">J28-J29</f>
        <v>0</v>
      </c>
      <c r="K30" s="26">
        <f t="shared" si="5"/>
        <v>0</v>
      </c>
      <c r="L30" s="26">
        <f t="shared" si="5"/>
        <v>0</v>
      </c>
      <c r="M30" s="26">
        <f t="shared" si="5"/>
        <v>0</v>
      </c>
      <c r="N30" s="26">
        <f t="shared" si="5"/>
        <v>0</v>
      </c>
      <c r="O30" s="26">
        <f t="shared" si="5"/>
        <v>0</v>
      </c>
      <c r="P30" s="26">
        <f t="shared" si="5"/>
        <v>0</v>
      </c>
      <c r="Q30" s="26">
        <f t="shared" si="5"/>
        <v>0</v>
      </c>
      <c r="R30" s="26">
        <f t="shared" si="5"/>
        <v>0</v>
      </c>
      <c r="S30" s="26">
        <f t="shared" si="5"/>
        <v>0</v>
      </c>
      <c r="T30" s="6"/>
      <c r="V30" s="27">
        <f>V28-V29</f>
        <v>2.9558577807620168E-12</v>
      </c>
    </row>
    <row r="31" spans="1:23" x14ac:dyDescent="0.2">
      <c r="A31" s="10"/>
      <c r="B31" s="2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3"/>
      <c r="V31" s="10"/>
    </row>
    <row r="32" spans="1:23" x14ac:dyDescent="0.2">
      <c r="B32" s="19" t="s">
        <v>45</v>
      </c>
    </row>
    <row r="34" spans="2:22" x14ac:dyDescent="0.2">
      <c r="B34" s="21" t="s">
        <v>2</v>
      </c>
      <c r="C34" t="s">
        <v>3</v>
      </c>
      <c r="D34" t="s">
        <v>4</v>
      </c>
      <c r="E34" t="s">
        <v>5</v>
      </c>
      <c r="G34" t="s">
        <v>6</v>
      </c>
    </row>
    <row r="35" spans="2:22" x14ac:dyDescent="0.2">
      <c r="B35" s="22" t="s">
        <v>8</v>
      </c>
      <c r="C35" s="1" t="s">
        <v>8</v>
      </c>
      <c r="D35" s="1" t="s">
        <v>9</v>
      </c>
      <c r="E35" s="1" t="s">
        <v>10</v>
      </c>
      <c r="F35" s="1" t="s">
        <v>11</v>
      </c>
      <c r="G35" s="1" t="s">
        <v>12</v>
      </c>
      <c r="H35" s="1" t="s">
        <v>13</v>
      </c>
      <c r="I35" s="1" t="s">
        <v>14</v>
      </c>
      <c r="J35" s="1" t="s">
        <v>15</v>
      </c>
      <c r="K35" s="1" t="s">
        <v>16</v>
      </c>
      <c r="L35" s="1" t="s">
        <v>17</v>
      </c>
      <c r="M35" s="1" t="s">
        <v>18</v>
      </c>
      <c r="N35" s="1" t="s">
        <v>19</v>
      </c>
      <c r="O35" s="1" t="s">
        <v>20</v>
      </c>
      <c r="P35" s="1" t="s">
        <v>21</v>
      </c>
      <c r="Q35" s="1" t="s">
        <v>22</v>
      </c>
      <c r="R35" s="1" t="s">
        <v>23</v>
      </c>
      <c r="S35" s="1" t="s">
        <v>24</v>
      </c>
      <c r="T35" s="1" t="s">
        <v>25</v>
      </c>
      <c r="U35" s="12" t="s">
        <v>46</v>
      </c>
      <c r="V35" s="2" t="s">
        <v>25</v>
      </c>
    </row>
    <row r="36" spans="2:22" x14ac:dyDescent="0.2">
      <c r="B36" s="21">
        <v>1</v>
      </c>
      <c r="C36" t="s">
        <v>53</v>
      </c>
      <c r="D36" s="3">
        <v>44378</v>
      </c>
      <c r="E36" s="4">
        <f>33*12</f>
        <v>396</v>
      </c>
      <c r="F36" s="4"/>
      <c r="G36" s="9">
        <f>E36+F36</f>
        <v>396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4">
        <f t="shared" ref="T36:T56" si="6">G36-SUM(H36:S36)</f>
        <v>396</v>
      </c>
      <c r="U36" s="11">
        <f>33*12</f>
        <v>396</v>
      </c>
      <c r="V36" s="26">
        <f>T36-U36</f>
        <v>0</v>
      </c>
    </row>
    <row r="37" spans="2:22" x14ac:dyDescent="0.2">
      <c r="B37" s="21">
        <v>2</v>
      </c>
      <c r="C37" t="s">
        <v>62</v>
      </c>
      <c r="D37" s="3">
        <v>44378</v>
      </c>
      <c r="E37" s="4">
        <f>(33+44+7)*12</f>
        <v>1008</v>
      </c>
      <c r="F37" s="4"/>
      <c r="G37" s="9">
        <f t="shared" ref="G37:G45" si="7">E37+F37</f>
        <v>1008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4">
        <f t="shared" si="6"/>
        <v>1008</v>
      </c>
      <c r="U37" s="11">
        <f>84*12</f>
        <v>1008</v>
      </c>
      <c r="V37" s="26">
        <f t="shared" ref="V37:V56" si="8">T37-U37</f>
        <v>0</v>
      </c>
    </row>
    <row r="38" spans="2:22" x14ac:dyDescent="0.2">
      <c r="B38" s="21">
        <v>3</v>
      </c>
      <c r="C38" t="s">
        <v>54</v>
      </c>
      <c r="D38" s="3">
        <v>44378</v>
      </c>
      <c r="E38" s="4">
        <f>33*12</f>
        <v>396</v>
      </c>
      <c r="F38" s="4"/>
      <c r="G38" s="9">
        <f t="shared" si="7"/>
        <v>396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4">
        <f t="shared" si="6"/>
        <v>396</v>
      </c>
      <c r="U38" s="11">
        <f>33*12</f>
        <v>396</v>
      </c>
      <c r="V38" s="26">
        <f t="shared" si="8"/>
        <v>0</v>
      </c>
    </row>
    <row r="39" spans="2:22" x14ac:dyDescent="0.2">
      <c r="B39" s="21">
        <v>4</v>
      </c>
      <c r="C39" t="s">
        <v>63</v>
      </c>
      <c r="D39" s="3">
        <v>44378</v>
      </c>
      <c r="E39" s="4">
        <f>(33+23+712+7)*12</f>
        <v>9300</v>
      </c>
      <c r="F39" s="4"/>
      <c r="G39" s="9">
        <f t="shared" si="7"/>
        <v>9300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4">
        <f t="shared" si="6"/>
        <v>9300</v>
      </c>
      <c r="U39" s="11">
        <f>775*12</f>
        <v>9300</v>
      </c>
      <c r="V39" s="26">
        <f t="shared" si="8"/>
        <v>0</v>
      </c>
    </row>
    <row r="40" spans="2:22" x14ac:dyDescent="0.2">
      <c r="B40" s="21">
        <v>5</v>
      </c>
      <c r="C40" t="s">
        <v>64</v>
      </c>
      <c r="D40" s="15">
        <v>44440</v>
      </c>
      <c r="E40" s="4">
        <f>(33+59+361+7)*10</f>
        <v>4600</v>
      </c>
      <c r="F40" s="4"/>
      <c r="G40" s="9">
        <f t="shared" si="7"/>
        <v>4600</v>
      </c>
      <c r="H40" s="17"/>
      <c r="I40" s="17"/>
      <c r="J40" s="9"/>
      <c r="K40" s="9"/>
      <c r="L40" s="9"/>
      <c r="M40" s="9"/>
      <c r="N40" s="9"/>
      <c r="O40" s="9"/>
      <c r="P40" s="9"/>
      <c r="Q40" s="9"/>
      <c r="R40" s="9"/>
      <c r="S40" s="9"/>
      <c r="T40" s="4">
        <f t="shared" si="6"/>
        <v>4600</v>
      </c>
      <c r="U40" s="11">
        <f>460*10</f>
        <v>4600</v>
      </c>
      <c r="V40" s="26">
        <f t="shared" si="8"/>
        <v>0</v>
      </c>
    </row>
    <row r="41" spans="2:22" x14ac:dyDescent="0.2">
      <c r="B41" s="21">
        <v>6</v>
      </c>
      <c r="C41" t="s">
        <v>55</v>
      </c>
      <c r="D41" s="15">
        <v>44440</v>
      </c>
      <c r="E41" s="4">
        <f>(33+658)*10</f>
        <v>6910</v>
      </c>
      <c r="F41" s="4"/>
      <c r="G41" s="9">
        <f t="shared" si="7"/>
        <v>6910</v>
      </c>
      <c r="H41" s="17"/>
      <c r="I41" s="17"/>
      <c r="J41" s="9"/>
      <c r="K41" s="9"/>
      <c r="L41" s="9"/>
      <c r="M41" s="9"/>
      <c r="N41" s="9"/>
      <c r="O41" s="9"/>
      <c r="P41" s="9"/>
      <c r="Q41" s="9"/>
      <c r="R41" s="9"/>
      <c r="S41" s="9"/>
      <c r="T41" s="4">
        <f t="shared" si="6"/>
        <v>6910</v>
      </c>
      <c r="U41" s="11">
        <f>691*10</f>
        <v>6910</v>
      </c>
      <c r="V41" s="26">
        <f t="shared" si="8"/>
        <v>0</v>
      </c>
    </row>
    <row r="42" spans="2:22" x14ac:dyDescent="0.2">
      <c r="B42" s="21">
        <v>7</v>
      </c>
      <c r="C42" t="s">
        <v>65</v>
      </c>
      <c r="D42" s="3">
        <v>44378</v>
      </c>
      <c r="E42" s="9">
        <f>(33+88+1452+15)*12</f>
        <v>19056</v>
      </c>
      <c r="F42" s="9"/>
      <c r="G42" s="9">
        <f t="shared" si="7"/>
        <v>19056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4">
        <f t="shared" si="6"/>
        <v>19056</v>
      </c>
      <c r="U42" s="11">
        <f>1588*12</f>
        <v>19056</v>
      </c>
      <c r="V42" s="26">
        <f t="shared" si="8"/>
        <v>0</v>
      </c>
    </row>
    <row r="43" spans="2:22" x14ac:dyDescent="0.2">
      <c r="B43" s="21">
        <v>8</v>
      </c>
      <c r="C43" t="s">
        <v>56</v>
      </c>
      <c r="D43" s="3">
        <v>44378</v>
      </c>
      <c r="E43" s="9">
        <f>(33+100+2315+21)*12</f>
        <v>29628</v>
      </c>
      <c r="F43" s="9"/>
      <c r="G43" s="9">
        <f t="shared" si="7"/>
        <v>29628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4">
        <f t="shared" si="6"/>
        <v>29628</v>
      </c>
      <c r="U43" s="11">
        <f>2469*12</f>
        <v>29628</v>
      </c>
      <c r="V43" s="26">
        <f t="shared" si="8"/>
        <v>0</v>
      </c>
    </row>
    <row r="44" spans="2:22" x14ac:dyDescent="0.2">
      <c r="B44" s="21">
        <v>9</v>
      </c>
      <c r="C44" t="s">
        <v>57</v>
      </c>
      <c r="D44" s="3">
        <v>44593</v>
      </c>
      <c r="E44" s="9">
        <f>33*5</f>
        <v>165</v>
      </c>
      <c r="F44" s="9">
        <f>F14</f>
        <v>330</v>
      </c>
      <c r="G44" s="9">
        <f t="shared" si="7"/>
        <v>495</v>
      </c>
      <c r="H44" s="17"/>
      <c r="I44" s="17"/>
      <c r="J44" s="17"/>
      <c r="K44" s="17"/>
      <c r="L44" s="17"/>
      <c r="M44" s="17"/>
      <c r="N44" s="17"/>
      <c r="O44" s="9"/>
      <c r="P44" s="9"/>
      <c r="Q44" s="9"/>
      <c r="R44" s="9"/>
      <c r="S44" s="9"/>
      <c r="T44" s="4">
        <f t="shared" si="6"/>
        <v>495</v>
      </c>
      <c r="U44" s="11">
        <f>(33+7+59)*5</f>
        <v>495</v>
      </c>
      <c r="V44" s="26">
        <f t="shared" si="8"/>
        <v>0</v>
      </c>
    </row>
    <row r="45" spans="2:22" x14ac:dyDescent="0.2">
      <c r="B45" s="21">
        <v>10</v>
      </c>
      <c r="C45" t="s">
        <v>58</v>
      </c>
      <c r="D45" s="15">
        <v>44440</v>
      </c>
      <c r="E45" s="9">
        <f>33*10</f>
        <v>330</v>
      </c>
      <c r="F45" s="9"/>
      <c r="G45" s="9">
        <f t="shared" si="7"/>
        <v>330</v>
      </c>
      <c r="H45" s="17"/>
      <c r="I45" s="17"/>
      <c r="J45" s="9"/>
      <c r="K45" s="9"/>
      <c r="L45" s="9"/>
      <c r="M45" s="9"/>
      <c r="N45" s="9"/>
      <c r="O45" s="9"/>
      <c r="P45" s="9"/>
      <c r="Q45" s="9"/>
      <c r="R45" s="9"/>
      <c r="S45" s="9"/>
      <c r="T45" s="4">
        <f t="shared" si="6"/>
        <v>330</v>
      </c>
      <c r="U45" s="11">
        <f>33*10</f>
        <v>330</v>
      </c>
      <c r="V45" s="26">
        <f t="shared" si="8"/>
        <v>0</v>
      </c>
    </row>
    <row r="46" spans="2:22" x14ac:dyDescent="0.2">
      <c r="B46" s="21">
        <v>11</v>
      </c>
      <c r="C46" t="s">
        <v>59</v>
      </c>
      <c r="D46" s="3">
        <v>44378</v>
      </c>
      <c r="E46" s="4">
        <f>(33+59+1.2+658+7)*12</f>
        <v>9098.4000000000015</v>
      </c>
      <c r="F46" s="4"/>
      <c r="G46" s="9">
        <f>E46+F46</f>
        <v>9098.4000000000015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4">
        <f t="shared" si="6"/>
        <v>9098.4000000000015</v>
      </c>
      <c r="U46" s="11">
        <f>758.2*12</f>
        <v>9098.4000000000015</v>
      </c>
      <c r="V46" s="26">
        <f t="shared" si="8"/>
        <v>0</v>
      </c>
    </row>
    <row r="47" spans="2:22" x14ac:dyDescent="0.2">
      <c r="B47" s="21">
        <v>12</v>
      </c>
      <c r="C47" t="s">
        <v>66</v>
      </c>
      <c r="D47" s="3">
        <v>44378</v>
      </c>
      <c r="E47" s="9">
        <f>(33+59+712+7)*12</f>
        <v>9732</v>
      </c>
      <c r="F47" s="9"/>
      <c r="G47" s="9">
        <f>E47+F47</f>
        <v>9732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>
        <f t="shared" si="6"/>
        <v>9732</v>
      </c>
      <c r="U47" s="5">
        <f>811*12</f>
        <v>9732</v>
      </c>
      <c r="V47" s="26">
        <f t="shared" si="8"/>
        <v>0</v>
      </c>
    </row>
    <row r="48" spans="2:22" x14ac:dyDescent="0.2">
      <c r="B48" s="21">
        <v>13</v>
      </c>
      <c r="C48" t="s">
        <v>60</v>
      </c>
      <c r="D48" s="15">
        <v>44409</v>
      </c>
      <c r="E48" s="9">
        <f>(641+71+44+6+1+33+13.04)*11</f>
        <v>8899.4399999999987</v>
      </c>
      <c r="F48" s="9"/>
      <c r="G48" s="9">
        <f>E48+F48</f>
        <v>8899.4399999999987</v>
      </c>
      <c r="H48" s="17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>
        <f t="shared" si="6"/>
        <v>8899.4399999999987</v>
      </c>
      <c r="U48" s="5">
        <f>(13.04+44+712+7+33)*11</f>
        <v>8899.4399999999987</v>
      </c>
      <c r="V48" s="26">
        <f t="shared" si="8"/>
        <v>0</v>
      </c>
    </row>
    <row r="49" spans="2:22" x14ac:dyDescent="0.2">
      <c r="B49" s="21">
        <v>14</v>
      </c>
      <c r="C49" t="s">
        <v>69</v>
      </c>
      <c r="D49" s="15">
        <v>44440</v>
      </c>
      <c r="E49" s="9">
        <f>33*10</f>
        <v>330</v>
      </c>
      <c r="F49" s="9"/>
      <c r="G49" s="9">
        <f>E49+F49</f>
        <v>330</v>
      </c>
      <c r="H49" s="17"/>
      <c r="I49" s="17"/>
      <c r="J49" s="9"/>
      <c r="K49" s="9"/>
      <c r="L49" s="9"/>
      <c r="M49" s="9"/>
      <c r="N49" s="9"/>
      <c r="O49" s="9"/>
      <c r="P49" s="9"/>
      <c r="Q49" s="9"/>
      <c r="R49" s="9"/>
      <c r="S49" s="9"/>
      <c r="T49" s="9">
        <f t="shared" si="6"/>
        <v>330</v>
      </c>
      <c r="U49" s="5">
        <f>33*10</f>
        <v>330</v>
      </c>
      <c r="V49" s="26">
        <f t="shared" si="8"/>
        <v>0</v>
      </c>
    </row>
    <row r="50" spans="2:22" x14ac:dyDescent="0.2">
      <c r="B50" s="21">
        <v>15</v>
      </c>
      <c r="C50" t="s">
        <v>67</v>
      </c>
      <c r="D50" s="3">
        <v>44378</v>
      </c>
      <c r="E50" s="4">
        <f>(33+34+1485+14)*12</f>
        <v>18792</v>
      </c>
      <c r="F50" s="4"/>
      <c r="G50" s="9">
        <f t="shared" ref="G50:G56" si="9">E50+F50</f>
        <v>18792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4">
        <f t="shared" si="6"/>
        <v>18792</v>
      </c>
      <c r="U50" s="11">
        <f>1566*12</f>
        <v>18792</v>
      </c>
      <c r="V50" s="26">
        <f t="shared" si="8"/>
        <v>0</v>
      </c>
    </row>
    <row r="51" spans="2:22" x14ac:dyDescent="0.2">
      <c r="B51" s="21">
        <v>16</v>
      </c>
      <c r="C51" t="s">
        <v>68</v>
      </c>
      <c r="D51" s="3">
        <v>44378</v>
      </c>
      <c r="E51" s="4">
        <f>(33+88+1375+14)*12</f>
        <v>18120</v>
      </c>
      <c r="F51" s="4"/>
      <c r="G51" s="9">
        <f t="shared" si="9"/>
        <v>18120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4">
        <f t="shared" si="6"/>
        <v>18120</v>
      </c>
      <c r="U51" s="11">
        <f>1510*12</f>
        <v>18120</v>
      </c>
      <c r="V51" s="26">
        <f t="shared" si="8"/>
        <v>0</v>
      </c>
    </row>
    <row r="52" spans="2:22" x14ac:dyDescent="0.2">
      <c r="B52" s="21">
        <v>17</v>
      </c>
      <c r="C52" t="s">
        <v>70</v>
      </c>
      <c r="D52" s="3">
        <v>44378</v>
      </c>
      <c r="E52" s="4">
        <f>33*12</f>
        <v>396</v>
      </c>
      <c r="F52" s="4"/>
      <c r="G52" s="9">
        <f t="shared" si="9"/>
        <v>396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4">
        <f t="shared" si="6"/>
        <v>396</v>
      </c>
      <c r="U52" s="11">
        <f>33*12</f>
        <v>396</v>
      </c>
      <c r="V52" s="26">
        <f t="shared" si="8"/>
        <v>0</v>
      </c>
    </row>
    <row r="53" spans="2:22" x14ac:dyDescent="0.2">
      <c r="B53" s="21">
        <v>18</v>
      </c>
      <c r="C53" t="s">
        <v>71</v>
      </c>
      <c r="D53" s="15">
        <v>44440</v>
      </c>
      <c r="E53" s="9">
        <f>(325+36+23+33)*10</f>
        <v>4170</v>
      </c>
      <c r="F53" s="4"/>
      <c r="G53" s="9">
        <f t="shared" si="9"/>
        <v>4170</v>
      </c>
      <c r="H53" s="17"/>
      <c r="I53" s="17"/>
      <c r="J53" s="9"/>
      <c r="K53" s="9"/>
      <c r="L53" s="9"/>
      <c r="M53" s="9"/>
      <c r="N53" s="9"/>
      <c r="O53" s="9"/>
      <c r="P53" s="9"/>
      <c r="Q53" s="9"/>
      <c r="R53" s="9"/>
      <c r="S53" s="9"/>
      <c r="T53" s="4">
        <f t="shared" si="6"/>
        <v>4170</v>
      </c>
      <c r="U53" s="11">
        <f>(23+361+33)*10</f>
        <v>4170</v>
      </c>
      <c r="V53" s="26">
        <f t="shared" si="8"/>
        <v>0</v>
      </c>
    </row>
    <row r="54" spans="2:22" x14ac:dyDescent="0.2">
      <c r="B54" s="21">
        <v>19</v>
      </c>
      <c r="C54" t="s">
        <v>72</v>
      </c>
      <c r="D54" s="3">
        <v>44378</v>
      </c>
      <c r="E54" s="4">
        <f>33*12</f>
        <v>396</v>
      </c>
      <c r="F54" s="4"/>
      <c r="G54" s="9">
        <f t="shared" si="9"/>
        <v>396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4">
        <f t="shared" si="6"/>
        <v>396</v>
      </c>
      <c r="U54" s="11">
        <f>33*12</f>
        <v>396</v>
      </c>
      <c r="V54" s="26">
        <f t="shared" si="8"/>
        <v>0</v>
      </c>
    </row>
    <row r="55" spans="2:22" x14ac:dyDescent="0.2">
      <c r="B55" s="21">
        <v>20</v>
      </c>
      <c r="C55" t="s">
        <v>73</v>
      </c>
      <c r="D55" s="15">
        <v>44440</v>
      </c>
      <c r="E55" s="4">
        <f>(9.5+59+712+7+33)*10</f>
        <v>8205</v>
      </c>
      <c r="F55" s="4"/>
      <c r="G55" s="9">
        <f t="shared" si="9"/>
        <v>8205</v>
      </c>
      <c r="H55" s="17"/>
      <c r="I55" s="17"/>
      <c r="J55" s="9"/>
      <c r="K55" s="9"/>
      <c r="L55" s="9"/>
      <c r="M55" s="9"/>
      <c r="N55" s="9"/>
      <c r="O55" s="9"/>
      <c r="P55" s="9"/>
      <c r="Q55" s="9"/>
      <c r="R55" s="9"/>
      <c r="S55" s="9"/>
      <c r="T55" s="4">
        <f t="shared" si="6"/>
        <v>8205</v>
      </c>
      <c r="U55" s="11">
        <f>820.5*10</f>
        <v>8205</v>
      </c>
      <c r="V55" s="26">
        <f t="shared" si="8"/>
        <v>0</v>
      </c>
    </row>
    <row r="56" spans="2:22" x14ac:dyDescent="0.2">
      <c r="B56" s="21">
        <v>21</v>
      </c>
      <c r="C56" t="s">
        <v>74</v>
      </c>
      <c r="D56" s="3">
        <v>44378</v>
      </c>
      <c r="E56" s="4">
        <f>(33+62+658+14)*12</f>
        <v>9204</v>
      </c>
      <c r="F56" s="4"/>
      <c r="G56" s="9">
        <f t="shared" si="9"/>
        <v>9204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4">
        <f t="shared" si="6"/>
        <v>9204</v>
      </c>
      <c r="U56" s="11">
        <f>767*12</f>
        <v>9204</v>
      </c>
      <c r="V56" s="26">
        <f t="shared" si="8"/>
        <v>0</v>
      </c>
    </row>
    <row r="57" spans="2:22" x14ac:dyDescent="0.2"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V57" s="4"/>
    </row>
    <row r="58" spans="2:22" x14ac:dyDescent="0.2">
      <c r="B58" s="19" t="s">
        <v>47</v>
      </c>
      <c r="E58" s="26">
        <f t="shared" ref="E58:U58" si="10">SUM(E36:E57)</f>
        <v>159131.84</v>
      </c>
      <c r="F58" s="26">
        <f t="shared" si="10"/>
        <v>330</v>
      </c>
      <c r="G58" s="26">
        <f t="shared" si="10"/>
        <v>159461.84</v>
      </c>
      <c r="H58" s="25">
        <f t="shared" si="10"/>
        <v>0</v>
      </c>
      <c r="I58" s="25">
        <f t="shared" si="10"/>
        <v>0</v>
      </c>
      <c r="J58" s="25">
        <f t="shared" si="10"/>
        <v>0</v>
      </c>
      <c r="K58" s="25">
        <f t="shared" si="10"/>
        <v>0</v>
      </c>
      <c r="L58" s="25">
        <f t="shared" si="10"/>
        <v>0</v>
      </c>
      <c r="M58" s="25">
        <f t="shared" si="10"/>
        <v>0</v>
      </c>
      <c r="N58" s="25">
        <f t="shared" si="10"/>
        <v>0</v>
      </c>
      <c r="O58" s="25">
        <f t="shared" si="10"/>
        <v>0</v>
      </c>
      <c r="P58" s="25">
        <f t="shared" si="10"/>
        <v>0</v>
      </c>
      <c r="Q58" s="25">
        <f t="shared" si="10"/>
        <v>0</v>
      </c>
      <c r="R58" s="25">
        <f t="shared" si="10"/>
        <v>0</v>
      </c>
      <c r="S58" s="25">
        <f t="shared" si="10"/>
        <v>0</v>
      </c>
      <c r="T58" s="25">
        <f t="shared" si="10"/>
        <v>159461.84</v>
      </c>
      <c r="U58" s="25">
        <f t="shared" si="10"/>
        <v>159461.84</v>
      </c>
      <c r="V58" s="4"/>
    </row>
    <row r="59" spans="2:22" x14ac:dyDescent="0.2"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V59" s="4"/>
    </row>
    <row r="60" spans="2:22" x14ac:dyDescent="0.2"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V60" s="4"/>
    </row>
    <row r="61" spans="2:22" x14ac:dyDescent="0.2">
      <c r="B61" s="21" t="s">
        <v>48</v>
      </c>
      <c r="H61" s="26">
        <f t="shared" ref="H61:S61" si="11">H28</f>
        <v>0</v>
      </c>
      <c r="I61" s="26">
        <f t="shared" si="11"/>
        <v>0</v>
      </c>
      <c r="J61" s="26">
        <f t="shared" si="11"/>
        <v>0</v>
      </c>
      <c r="K61" s="26">
        <f t="shared" si="11"/>
        <v>0</v>
      </c>
      <c r="L61" s="26">
        <f t="shared" si="11"/>
        <v>0</v>
      </c>
      <c r="M61" s="26">
        <f t="shared" si="11"/>
        <v>0</v>
      </c>
      <c r="N61" s="26">
        <f t="shared" si="11"/>
        <v>0</v>
      </c>
      <c r="O61" s="26">
        <f t="shared" si="11"/>
        <v>0</v>
      </c>
      <c r="P61" s="26">
        <f t="shared" si="11"/>
        <v>0</v>
      </c>
      <c r="Q61" s="26">
        <f t="shared" si="11"/>
        <v>0</v>
      </c>
      <c r="R61" s="26">
        <f t="shared" si="11"/>
        <v>0</v>
      </c>
      <c r="S61" s="26">
        <f t="shared" si="11"/>
        <v>0</v>
      </c>
    </row>
    <row r="62" spans="2:22" x14ac:dyDescent="0.2">
      <c r="B62" s="21" t="s">
        <v>47</v>
      </c>
      <c r="H62" s="26">
        <f t="shared" ref="H62:S62" si="12">H58</f>
        <v>0</v>
      </c>
      <c r="I62" s="26">
        <f t="shared" si="12"/>
        <v>0</v>
      </c>
      <c r="J62" s="26">
        <f t="shared" si="12"/>
        <v>0</v>
      </c>
      <c r="K62" s="26">
        <f t="shared" si="12"/>
        <v>0</v>
      </c>
      <c r="L62" s="26">
        <f t="shared" si="12"/>
        <v>0</v>
      </c>
      <c r="M62" s="26">
        <f t="shared" si="12"/>
        <v>0</v>
      </c>
      <c r="N62" s="26">
        <f t="shared" si="12"/>
        <v>0</v>
      </c>
      <c r="O62" s="26">
        <f t="shared" si="12"/>
        <v>0</v>
      </c>
      <c r="P62" s="26">
        <f t="shared" si="12"/>
        <v>0</v>
      </c>
      <c r="Q62" s="26">
        <f t="shared" si="12"/>
        <v>0</v>
      </c>
      <c r="R62" s="26">
        <f t="shared" si="12"/>
        <v>0</v>
      </c>
      <c r="S62" s="26">
        <f t="shared" si="12"/>
        <v>0</v>
      </c>
    </row>
    <row r="63" spans="2:22" x14ac:dyDescent="0.2">
      <c r="B63" s="21" t="s">
        <v>25</v>
      </c>
      <c r="H63" s="29">
        <f>H61-H62</f>
        <v>0</v>
      </c>
      <c r="I63" s="29">
        <f t="shared" ref="I63:S63" si="13">I61-I62</f>
        <v>0</v>
      </c>
      <c r="J63" s="29">
        <f t="shared" si="13"/>
        <v>0</v>
      </c>
      <c r="K63" s="29">
        <f t="shared" si="13"/>
        <v>0</v>
      </c>
      <c r="L63" s="29">
        <f t="shared" si="13"/>
        <v>0</v>
      </c>
      <c r="M63" s="29">
        <f t="shared" si="13"/>
        <v>0</v>
      </c>
      <c r="N63" s="29">
        <f t="shared" si="13"/>
        <v>0</v>
      </c>
      <c r="O63" s="29">
        <f t="shared" si="13"/>
        <v>0</v>
      </c>
      <c r="P63" s="29">
        <f t="shared" si="13"/>
        <v>0</v>
      </c>
      <c r="Q63" s="29">
        <f t="shared" si="13"/>
        <v>0</v>
      </c>
      <c r="R63" s="29">
        <f t="shared" si="13"/>
        <v>0</v>
      </c>
      <c r="S63" s="29">
        <f t="shared" si="13"/>
        <v>0</v>
      </c>
      <c r="T63" s="26">
        <f>SUM(H63:S63)</f>
        <v>0</v>
      </c>
    </row>
    <row r="64" spans="2:22" x14ac:dyDescent="0.2">
      <c r="B64" s="21" t="s">
        <v>49</v>
      </c>
      <c r="T64" s="8"/>
      <c r="U64" s="4" t="s">
        <v>50</v>
      </c>
    </row>
    <row r="65" spans="2:21" x14ac:dyDescent="0.2">
      <c r="B65" s="24" t="s">
        <v>51</v>
      </c>
      <c r="T65" s="25">
        <f>T63-T64</f>
        <v>0</v>
      </c>
      <c r="U65" s="4" t="s">
        <v>52</v>
      </c>
    </row>
    <row r="66" spans="2:21" x14ac:dyDescent="0.2">
      <c r="T66" s="4"/>
    </row>
  </sheetData>
  <mergeCells count="1">
    <mergeCell ref="H4:S4"/>
  </mergeCells>
  <pageMargins left="0.2" right="0.2" top="0.25" bottom="0.25" header="0.3" footer="0.3"/>
  <pageSetup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2EA97-DDD9-4BE8-868C-17EC8400CA6D}">
  <sheetPr>
    <tabColor rgb="FF7030A0"/>
    <pageSetUpPr fitToPage="1"/>
  </sheetPr>
  <dimension ref="A1:W67"/>
  <sheetViews>
    <sheetView zoomScale="85" zoomScaleNormal="85" workbookViewId="0">
      <pane xSplit="4" ySplit="5" topLeftCell="E31" activePane="bottomRight" state="frozen"/>
      <selection pane="topRight"/>
      <selection pane="bottomLeft"/>
      <selection pane="bottomRight" activeCell="G56" sqref="G36:G56"/>
    </sheetView>
  </sheetViews>
  <sheetFormatPr baseColWidth="10" defaultColWidth="8.83203125" defaultRowHeight="15" x14ac:dyDescent="0.2"/>
  <cols>
    <col min="1" max="1" width="4.6640625" customWidth="1"/>
    <col min="2" max="2" width="21.6640625" style="21" customWidth="1"/>
    <col min="3" max="3" width="9.5" bestFit="1" customWidth="1"/>
    <col min="4" max="4" width="9.5" customWidth="1"/>
    <col min="5" max="5" width="14.33203125" bestFit="1" customWidth="1"/>
    <col min="6" max="6" width="13.83203125" customWidth="1"/>
    <col min="7" max="7" width="20.5" bestFit="1" customWidth="1"/>
    <col min="8" max="8" width="11.1640625" bestFit="1" customWidth="1"/>
    <col min="9" max="9" width="11.6640625" customWidth="1"/>
    <col min="10" max="10" width="11.1640625" bestFit="1" customWidth="1"/>
    <col min="11" max="11" width="11" customWidth="1"/>
    <col min="12" max="12" width="11.5" customWidth="1"/>
    <col min="13" max="13" width="11.33203125" customWidth="1"/>
    <col min="14" max="14" width="13.5" customWidth="1"/>
    <col min="15" max="16" width="11.1640625" bestFit="1" customWidth="1"/>
    <col min="17" max="17" width="11.5" customWidth="1"/>
    <col min="18" max="18" width="10.83203125" customWidth="1"/>
    <col min="19" max="19" width="10.5" bestFit="1" customWidth="1"/>
    <col min="20" max="20" width="11.5" bestFit="1" customWidth="1"/>
    <col min="21" max="21" width="12.1640625" style="4" customWidth="1"/>
    <col min="22" max="22" width="11.5" bestFit="1" customWidth="1"/>
  </cols>
  <sheetData>
    <row r="1" spans="2:23" x14ac:dyDescent="0.2">
      <c r="B1" s="19" t="s">
        <v>0</v>
      </c>
    </row>
    <row r="2" spans="2:23" x14ac:dyDescent="0.2">
      <c r="B2" s="20" t="s">
        <v>1</v>
      </c>
    </row>
    <row r="4" spans="2:23" x14ac:dyDescent="0.2">
      <c r="B4" s="21" t="s">
        <v>2</v>
      </c>
      <c r="C4" t="s">
        <v>3</v>
      </c>
      <c r="D4" t="s">
        <v>4</v>
      </c>
      <c r="E4" t="s">
        <v>5</v>
      </c>
      <c r="G4" t="s">
        <v>6</v>
      </c>
      <c r="H4" s="30" t="s">
        <v>7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2:23" x14ac:dyDescent="0.2">
      <c r="B5" s="22" t="s">
        <v>8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1" t="s">
        <v>16</v>
      </c>
      <c r="L5" s="1" t="s">
        <v>17</v>
      </c>
      <c r="M5" s="1" t="s">
        <v>18</v>
      </c>
      <c r="N5" s="1" t="s">
        <v>19</v>
      </c>
      <c r="O5" s="1" t="s">
        <v>20</v>
      </c>
      <c r="P5" s="1" t="s">
        <v>21</v>
      </c>
      <c r="Q5" s="1" t="s">
        <v>22</v>
      </c>
      <c r="R5" s="1" t="s">
        <v>23</v>
      </c>
      <c r="S5" s="1" t="s">
        <v>24</v>
      </c>
      <c r="T5" s="1" t="s">
        <v>25</v>
      </c>
      <c r="U5" s="12" t="s">
        <v>26</v>
      </c>
      <c r="V5" s="2" t="s">
        <v>25</v>
      </c>
    </row>
    <row r="6" spans="2:23" x14ac:dyDescent="0.2">
      <c r="B6" s="21">
        <v>1</v>
      </c>
      <c r="C6" t="s">
        <v>53</v>
      </c>
      <c r="D6" s="3">
        <v>44378</v>
      </c>
      <c r="E6" s="4">
        <f>33*12</f>
        <v>396</v>
      </c>
      <c r="F6" s="4"/>
      <c r="G6" s="25">
        <f>E6+F6</f>
        <v>396</v>
      </c>
      <c r="H6" s="4">
        <v>45.69</v>
      </c>
      <c r="I6" s="14">
        <f>30.46</f>
        <v>30.46</v>
      </c>
      <c r="J6" s="4">
        <v>30.46</v>
      </c>
      <c r="K6" s="4">
        <v>30.46</v>
      </c>
      <c r="L6" s="4">
        <v>30.46</v>
      </c>
      <c r="M6" s="4">
        <v>45.69</v>
      </c>
      <c r="N6" s="4">
        <v>30.46</v>
      </c>
      <c r="O6" s="4">
        <v>30.46</v>
      </c>
      <c r="P6" s="4">
        <v>30.46</v>
      </c>
      <c r="Q6" s="4">
        <v>30.46</v>
      </c>
      <c r="R6" s="4">
        <v>30.46</v>
      </c>
      <c r="S6" s="4">
        <v>30.46</v>
      </c>
      <c r="T6" s="25">
        <f t="shared" ref="T6:T27" si="0">G6-SUM(H6:S6)</f>
        <v>2.0000000000038654E-2</v>
      </c>
      <c r="U6" s="11">
        <f>15.23*0</f>
        <v>0</v>
      </c>
      <c r="V6" s="26">
        <f>T6-U6</f>
        <v>2.0000000000038654E-2</v>
      </c>
      <c r="W6" t="s">
        <v>27</v>
      </c>
    </row>
    <row r="7" spans="2:23" ht="18" customHeight="1" x14ac:dyDescent="0.2">
      <c r="B7" s="21">
        <v>2</v>
      </c>
      <c r="C7" t="s">
        <v>62</v>
      </c>
      <c r="D7" s="3">
        <v>44378</v>
      </c>
      <c r="E7" s="4">
        <f>(33+44+7)*12</f>
        <v>1008</v>
      </c>
      <c r="F7" s="4">
        <f>-84*5</f>
        <v>-420</v>
      </c>
      <c r="G7" s="25">
        <f t="shared" ref="G7:G26" si="1">E7+F7</f>
        <v>588</v>
      </c>
      <c r="H7" s="4">
        <f>0+114.93</f>
        <v>114.93</v>
      </c>
      <c r="I7" s="16">
        <f>200.34-121.42</f>
        <v>78.92</v>
      </c>
      <c r="J7" s="4">
        <v>77.540000000000006</v>
      </c>
      <c r="K7" s="4">
        <f>265.94-188.4</f>
        <v>77.539999999999992</v>
      </c>
      <c r="L7" s="4">
        <f>251.34-173.8</f>
        <v>77.539999999999992</v>
      </c>
      <c r="M7" s="4">
        <f>352.88-236.57</f>
        <v>116.31</v>
      </c>
      <c r="N7" s="4">
        <f>188.97-111.43</f>
        <v>77.539999999999992</v>
      </c>
      <c r="O7" s="17"/>
      <c r="P7" s="17"/>
      <c r="Q7" s="17"/>
      <c r="R7" s="17"/>
      <c r="S7" s="17"/>
      <c r="T7" s="25">
        <f t="shared" si="0"/>
        <v>-32.319999999999936</v>
      </c>
      <c r="U7" s="11">
        <v>0</v>
      </c>
      <c r="V7" s="26">
        <f t="shared" ref="V7:V26" si="2">T7-U7</f>
        <v>-32.319999999999936</v>
      </c>
      <c r="W7" t="s">
        <v>28</v>
      </c>
    </row>
    <row r="8" spans="2:23" x14ac:dyDescent="0.2">
      <c r="B8" s="21">
        <v>3</v>
      </c>
      <c r="C8" t="s">
        <v>54</v>
      </c>
      <c r="D8" s="3">
        <v>44378</v>
      </c>
      <c r="E8" s="4">
        <f>33*12</f>
        <v>396</v>
      </c>
      <c r="F8" s="4"/>
      <c r="G8" s="25">
        <f t="shared" si="1"/>
        <v>396</v>
      </c>
      <c r="H8" s="4">
        <v>45.69</v>
      </c>
      <c r="I8" s="4">
        <v>30.46</v>
      </c>
      <c r="J8" s="4">
        <v>30.46</v>
      </c>
      <c r="K8" s="4">
        <v>30.46</v>
      </c>
      <c r="L8" s="4">
        <v>30.46</v>
      </c>
      <c r="M8" s="4">
        <v>45.69</v>
      </c>
      <c r="N8" s="4">
        <v>30.46</v>
      </c>
      <c r="O8" s="4">
        <v>30.46</v>
      </c>
      <c r="P8" s="4">
        <v>30.46</v>
      </c>
      <c r="Q8" s="4">
        <v>30.46</v>
      </c>
      <c r="R8" s="4">
        <v>30.46</v>
      </c>
      <c r="S8" s="4">
        <v>30.46</v>
      </c>
      <c r="T8" s="25">
        <f t="shared" si="0"/>
        <v>2.0000000000038654E-2</v>
      </c>
      <c r="U8" s="11">
        <f>15.23*0</f>
        <v>0</v>
      </c>
      <c r="V8" s="26">
        <f t="shared" si="2"/>
        <v>2.0000000000038654E-2</v>
      </c>
      <c r="W8" t="s">
        <v>27</v>
      </c>
    </row>
    <row r="9" spans="2:23" x14ac:dyDescent="0.2">
      <c r="B9" s="21">
        <v>4</v>
      </c>
      <c r="C9" t="s">
        <v>63</v>
      </c>
      <c r="D9" s="3">
        <v>44378</v>
      </c>
      <c r="E9" s="4">
        <f>(33+23+712+7)*12</f>
        <v>9300</v>
      </c>
      <c r="F9" s="4"/>
      <c r="G9" s="25">
        <f t="shared" si="1"/>
        <v>9300</v>
      </c>
      <c r="H9" s="4">
        <f>1392.12-319.02</f>
        <v>1073.0999999999999</v>
      </c>
      <c r="I9" s="4">
        <f>968.41-253.01</f>
        <v>715.4</v>
      </c>
      <c r="J9" s="4">
        <v>715.4</v>
      </c>
      <c r="K9" s="4">
        <f>933.74-218.34</f>
        <v>715.4</v>
      </c>
      <c r="L9" s="4">
        <f>933.74-218.34</f>
        <v>715.4</v>
      </c>
      <c r="M9" s="4">
        <f>1417.24-344.14</f>
        <v>1073.0999999999999</v>
      </c>
      <c r="N9" s="4">
        <f>933.74-218.34</f>
        <v>715.4</v>
      </c>
      <c r="O9" s="4">
        <f>950.37-234.97</f>
        <v>715.4</v>
      </c>
      <c r="P9" s="4">
        <f>933.74-218.34</f>
        <v>715.4</v>
      </c>
      <c r="Q9" s="4">
        <f>933.74-218.34</f>
        <v>715.4</v>
      </c>
      <c r="R9" s="4">
        <v>715.4</v>
      </c>
      <c r="S9" s="4">
        <v>715.4</v>
      </c>
      <c r="T9" s="25">
        <f t="shared" si="0"/>
        <v>-0.19999999999890861</v>
      </c>
      <c r="U9" s="11">
        <f>(324.47+33.23)*0</f>
        <v>0</v>
      </c>
      <c r="V9" s="26">
        <f t="shared" si="2"/>
        <v>-0.19999999999890861</v>
      </c>
      <c r="W9" t="s">
        <v>29</v>
      </c>
    </row>
    <row r="10" spans="2:23" x14ac:dyDescent="0.2">
      <c r="B10" s="21">
        <v>5</v>
      </c>
      <c r="C10" t="s">
        <v>64</v>
      </c>
      <c r="D10" s="15">
        <v>44440</v>
      </c>
      <c r="E10" s="4">
        <f>(33+59+361+7)*10</f>
        <v>4600</v>
      </c>
      <c r="F10" s="4"/>
      <c r="G10" s="25">
        <f t="shared" si="1"/>
        <v>4600</v>
      </c>
      <c r="H10" s="17"/>
      <c r="I10" s="17"/>
      <c r="J10" s="4">
        <v>424.62</v>
      </c>
      <c r="K10" s="4">
        <f>738.96-314.34</f>
        <v>424.62000000000006</v>
      </c>
      <c r="L10" s="4">
        <f>738.96-314.34</f>
        <v>424.62000000000006</v>
      </c>
      <c r="M10" s="4">
        <f>1125.07-488.14</f>
        <v>636.92999999999995</v>
      </c>
      <c r="N10" s="4">
        <f>738.96-314.34</f>
        <v>424.62000000000006</v>
      </c>
      <c r="O10" s="4">
        <f>755.59-330.97</f>
        <v>424.62</v>
      </c>
      <c r="P10" s="4">
        <f>738.96-314.34</f>
        <v>424.62000000000006</v>
      </c>
      <c r="Q10" s="4">
        <f>738.96-314.34</f>
        <v>424.62000000000006</v>
      </c>
      <c r="R10" s="4">
        <v>424.62</v>
      </c>
      <c r="S10" s="4">
        <v>424.62</v>
      </c>
      <c r="T10" s="25">
        <f t="shared" si="0"/>
        <v>141.49000000000069</v>
      </c>
      <c r="U10" s="11">
        <f>(15.23+27.23+150+16.62+2.77+0.46)*0</f>
        <v>0</v>
      </c>
      <c r="V10" s="26">
        <f t="shared" si="2"/>
        <v>141.49000000000069</v>
      </c>
      <c r="W10" t="s">
        <v>30</v>
      </c>
    </row>
    <row r="11" spans="2:23" x14ac:dyDescent="0.2">
      <c r="B11" s="21">
        <v>6</v>
      </c>
      <c r="C11" t="s">
        <v>55</v>
      </c>
      <c r="D11" s="15">
        <v>44440</v>
      </c>
      <c r="E11" s="4">
        <f>(33+658)*10</f>
        <v>6910</v>
      </c>
      <c r="F11" s="4"/>
      <c r="G11" s="25">
        <f t="shared" si="1"/>
        <v>6910</v>
      </c>
      <c r="H11" s="17"/>
      <c r="I11" s="17"/>
      <c r="J11" s="4">
        <v>637.84</v>
      </c>
      <c r="K11" s="4">
        <f>860.74-222.9</f>
        <v>637.84</v>
      </c>
      <c r="L11" s="4">
        <f>860.74-222.9</f>
        <v>637.84</v>
      </c>
      <c r="M11" s="4">
        <f>1307.35-350.59</f>
        <v>956.76</v>
      </c>
      <c r="N11" s="4">
        <f>860.74-222.9</f>
        <v>637.84</v>
      </c>
      <c r="O11" s="4">
        <f>876.98-239.14</f>
        <v>637.84</v>
      </c>
      <c r="P11" s="4">
        <f>860.74-222.9</f>
        <v>637.84</v>
      </c>
      <c r="Q11" s="4">
        <f>860.74-222.9</f>
        <v>637.84</v>
      </c>
      <c r="R11" s="4">
        <v>637.84</v>
      </c>
      <c r="S11" s="4">
        <v>637.84</v>
      </c>
      <c r="T11" s="25">
        <f t="shared" si="0"/>
        <v>212.67999999999938</v>
      </c>
      <c r="U11" s="11">
        <f>(15.23+273.23+30.46)*0</f>
        <v>0</v>
      </c>
      <c r="V11" s="26">
        <f t="shared" si="2"/>
        <v>212.67999999999938</v>
      </c>
      <c r="W11" t="s">
        <v>31</v>
      </c>
    </row>
    <row r="12" spans="2:23" x14ac:dyDescent="0.2">
      <c r="B12" s="21">
        <v>7</v>
      </c>
      <c r="C12" t="s">
        <v>65</v>
      </c>
      <c r="D12" s="3">
        <v>44378</v>
      </c>
      <c r="E12" s="9">
        <f>(33+88+1452+15)*12</f>
        <v>19056</v>
      </c>
      <c r="F12" s="9"/>
      <c r="G12" s="25">
        <f t="shared" si="1"/>
        <v>19056</v>
      </c>
      <c r="H12" s="9">
        <f>2352.46-153.7</f>
        <v>2198.7600000000002</v>
      </c>
      <c r="I12" s="9">
        <f>1672.93-207.09</f>
        <v>1465.8400000000001</v>
      </c>
      <c r="J12" s="9">
        <v>1465.84</v>
      </c>
      <c r="K12" s="9">
        <f>1677.77-211.93</f>
        <v>1465.84</v>
      </c>
      <c r="L12" s="9">
        <f>1654.52-188.68</f>
        <v>1465.84</v>
      </c>
      <c r="M12" s="9">
        <f>2496.14-297.38</f>
        <v>2198.7599999999998</v>
      </c>
      <c r="N12" s="9">
        <f>1638.03-172.19</f>
        <v>1465.84</v>
      </c>
      <c r="O12" s="9">
        <f>1660.47-194.63</f>
        <v>1465.8400000000001</v>
      </c>
      <c r="P12" s="9">
        <f>1644.04-178.2</f>
        <v>1465.84</v>
      </c>
      <c r="Q12" s="9">
        <f>1685.36-219.52</f>
        <v>1465.84</v>
      </c>
      <c r="R12" s="9">
        <v>1465.84</v>
      </c>
      <c r="S12" s="9">
        <v>1465.84</v>
      </c>
      <c r="T12" s="25">
        <f t="shared" si="0"/>
        <v>7.9999999998108251E-2</v>
      </c>
      <c r="U12" s="11">
        <f>(550.62+182.3)*0</f>
        <v>0</v>
      </c>
      <c r="V12" s="26">
        <f t="shared" si="2"/>
        <v>7.9999999998108251E-2</v>
      </c>
      <c r="W12" t="s">
        <v>32</v>
      </c>
    </row>
    <row r="13" spans="2:23" ht="15" customHeight="1" x14ac:dyDescent="0.2">
      <c r="B13" s="21">
        <v>8</v>
      </c>
      <c r="C13" t="s">
        <v>56</v>
      </c>
      <c r="D13" s="3">
        <v>44378</v>
      </c>
      <c r="E13" s="9">
        <f>(33+100+2315+21)*12</f>
        <v>29628</v>
      </c>
      <c r="F13" s="9"/>
      <c r="G13" s="25">
        <f t="shared" si="1"/>
        <v>29628</v>
      </c>
      <c r="H13" s="9">
        <f>3751.12-332.53</f>
        <v>3418.59</v>
      </c>
      <c r="I13" s="9">
        <f>2541.17-262.11</f>
        <v>2279.06</v>
      </c>
      <c r="J13" s="9">
        <v>2279.06</v>
      </c>
      <c r="K13" s="9">
        <f>2506.58-227.52</f>
        <v>2279.06</v>
      </c>
      <c r="L13" s="9">
        <f>2506.58-227.52</f>
        <v>2279.06</v>
      </c>
      <c r="M13" s="9">
        <f>3776.11-357.52</f>
        <v>3418.59</v>
      </c>
      <c r="N13" s="9">
        <f>2506.58-227.52</f>
        <v>2279.06</v>
      </c>
      <c r="O13" s="9">
        <f>2522.82-243.76</f>
        <v>2279.0600000000004</v>
      </c>
      <c r="P13" s="9">
        <f>2506.58-227.52</f>
        <v>2279.06</v>
      </c>
      <c r="Q13" s="9">
        <f>2506.58-227.52</f>
        <v>2279.06</v>
      </c>
      <c r="R13" s="9">
        <v>2279.06</v>
      </c>
      <c r="S13" s="9">
        <v>2279.06</v>
      </c>
      <c r="T13" s="25">
        <f t="shared" si="0"/>
        <v>0.2199999999938882</v>
      </c>
      <c r="U13" s="11">
        <f>(844.14+295.39)*0</f>
        <v>0</v>
      </c>
      <c r="V13" s="26">
        <f t="shared" si="2"/>
        <v>0.2199999999938882</v>
      </c>
      <c r="W13" t="s">
        <v>33</v>
      </c>
    </row>
    <row r="14" spans="2:23" ht="15" customHeight="1" x14ac:dyDescent="0.2">
      <c r="B14" s="21">
        <v>9</v>
      </c>
      <c r="C14" t="s">
        <v>57</v>
      </c>
      <c r="D14" s="3">
        <v>44593</v>
      </c>
      <c r="E14" s="9">
        <f>33*5</f>
        <v>165</v>
      </c>
      <c r="F14" s="9">
        <f>(7+59)*5</f>
        <v>330</v>
      </c>
      <c r="G14" s="25">
        <f t="shared" si="1"/>
        <v>495</v>
      </c>
      <c r="H14" s="17"/>
      <c r="I14" s="17"/>
      <c r="J14" s="17"/>
      <c r="K14" s="17"/>
      <c r="L14" s="17"/>
      <c r="M14" s="17"/>
      <c r="N14" s="17"/>
      <c r="O14" s="9">
        <v>30.46</v>
      </c>
      <c r="P14" s="9">
        <f>200.13-108.75+60</f>
        <v>151.38</v>
      </c>
      <c r="Q14" s="9">
        <f>240.12-147.82</f>
        <v>92.300000000000011</v>
      </c>
      <c r="R14" s="9">
        <v>91.38</v>
      </c>
      <c r="S14" s="9">
        <v>91.38</v>
      </c>
      <c r="T14" s="25">
        <f t="shared" si="0"/>
        <v>38.100000000000023</v>
      </c>
      <c r="U14" s="11">
        <f>(15.23+0.46+2.77+27.23)*0</f>
        <v>0</v>
      </c>
      <c r="V14" s="26">
        <f t="shared" si="2"/>
        <v>38.100000000000023</v>
      </c>
      <c r="W14" t="s">
        <v>34</v>
      </c>
    </row>
    <row r="15" spans="2:23" ht="15" customHeight="1" x14ac:dyDescent="0.2">
      <c r="B15" s="21">
        <v>10</v>
      </c>
      <c r="C15" t="s">
        <v>58</v>
      </c>
      <c r="D15" s="15">
        <v>44440</v>
      </c>
      <c r="E15" s="9">
        <f>33*10</f>
        <v>330</v>
      </c>
      <c r="F15" s="9"/>
      <c r="G15" s="25">
        <f t="shared" si="1"/>
        <v>330</v>
      </c>
      <c r="H15" s="17"/>
      <c r="I15" s="17"/>
      <c r="J15" s="18">
        <f>15.23+15.23</f>
        <v>30.46</v>
      </c>
      <c r="K15" s="9">
        <v>30.46</v>
      </c>
      <c r="L15" s="9">
        <v>30.46</v>
      </c>
      <c r="M15" s="9">
        <v>45.69</v>
      </c>
      <c r="N15" s="9">
        <v>30.46</v>
      </c>
      <c r="O15" s="9">
        <v>30.46</v>
      </c>
      <c r="P15" s="9">
        <v>30.46</v>
      </c>
      <c r="Q15" s="9">
        <v>30.46</v>
      </c>
      <c r="R15" s="9">
        <v>30.46</v>
      </c>
      <c r="S15" s="9">
        <v>30.46</v>
      </c>
      <c r="T15" s="25">
        <f t="shared" si="0"/>
        <v>10.170000000000016</v>
      </c>
      <c r="U15" s="11">
        <f>15.23*0</f>
        <v>0</v>
      </c>
      <c r="V15" s="26">
        <f t="shared" si="2"/>
        <v>10.170000000000016</v>
      </c>
      <c r="W15" t="s">
        <v>35</v>
      </c>
    </row>
    <row r="16" spans="2:23" x14ac:dyDescent="0.2">
      <c r="B16" s="21">
        <v>11</v>
      </c>
      <c r="C16" t="s">
        <v>59</v>
      </c>
      <c r="D16" s="3">
        <v>44378</v>
      </c>
      <c r="E16" s="4">
        <f>(33+59+1.2+658+7)*12</f>
        <v>9098.4000000000015</v>
      </c>
      <c r="F16" s="4"/>
      <c r="G16" s="25">
        <f>E16+F16</f>
        <v>9098.4000000000015</v>
      </c>
      <c r="H16" s="4">
        <v>1049.79</v>
      </c>
      <c r="I16" s="4">
        <f>699.86</f>
        <v>699.86</v>
      </c>
      <c r="J16" s="4">
        <v>699.86</v>
      </c>
      <c r="K16" s="4">
        <v>699.86</v>
      </c>
      <c r="L16" s="4">
        <v>699.86</v>
      </c>
      <c r="M16" s="4">
        <v>1049.79</v>
      </c>
      <c r="N16" s="4">
        <v>699.86</v>
      </c>
      <c r="O16" s="4">
        <v>699.86</v>
      </c>
      <c r="P16" s="4">
        <v>699.86</v>
      </c>
      <c r="Q16" s="4">
        <v>699.86</v>
      </c>
      <c r="R16" s="4">
        <v>699.86</v>
      </c>
      <c r="S16" s="4">
        <v>699.86</v>
      </c>
      <c r="T16" s="25">
        <f t="shared" si="0"/>
        <v>0.22000000000116415</v>
      </c>
      <c r="U16" s="11">
        <f>(318.46+31.47)*0</f>
        <v>0</v>
      </c>
      <c r="V16" s="26">
        <f>T16-U16</f>
        <v>0.22000000000116415</v>
      </c>
      <c r="W16" t="s">
        <v>33</v>
      </c>
    </row>
    <row r="17" spans="1:23" ht="15" customHeight="1" x14ac:dyDescent="0.2">
      <c r="B17" s="21">
        <v>12</v>
      </c>
      <c r="C17" t="s">
        <v>66</v>
      </c>
      <c r="D17" s="3">
        <v>44378</v>
      </c>
      <c r="E17" s="9">
        <f>(33+59+712+7)*12</f>
        <v>9732</v>
      </c>
      <c r="F17" s="9"/>
      <c r="G17" s="25">
        <f>E17+F17</f>
        <v>9732</v>
      </c>
      <c r="H17" s="9">
        <f>1416-293.07</f>
        <v>1122.93</v>
      </c>
      <c r="I17" s="9">
        <f>986.88-238.26</f>
        <v>748.62</v>
      </c>
      <c r="J17" s="9">
        <v>748.62</v>
      </c>
      <c r="K17" s="9">
        <f>954.76-206.14</f>
        <v>748.62</v>
      </c>
      <c r="L17" s="9">
        <f>954.76-206.14</f>
        <v>748.62</v>
      </c>
      <c r="M17" s="9">
        <f>1448.77-325.84</f>
        <v>1122.93</v>
      </c>
      <c r="N17" s="9">
        <f>954.76-206.14</f>
        <v>748.62</v>
      </c>
      <c r="O17" s="9">
        <f>971.39-222.77</f>
        <v>748.62</v>
      </c>
      <c r="P17" s="9">
        <f>954.76-206.14</f>
        <v>748.62</v>
      </c>
      <c r="Q17" s="9">
        <f>954.76-206.14</f>
        <v>748.62</v>
      </c>
      <c r="R17" s="9">
        <v>748.62</v>
      </c>
      <c r="S17" s="9">
        <v>748.62</v>
      </c>
      <c r="T17" s="25">
        <f t="shared" si="0"/>
        <v>-6.0000000001309672E-2</v>
      </c>
      <c r="U17" s="11">
        <f>(341.08+33.23)*0</f>
        <v>0</v>
      </c>
      <c r="V17" s="25">
        <f>T17-U17</f>
        <v>-6.0000000001309672E-2</v>
      </c>
      <c r="W17" t="s">
        <v>36</v>
      </c>
    </row>
    <row r="18" spans="1:23" ht="15" customHeight="1" x14ac:dyDescent="0.2">
      <c r="B18" s="21">
        <v>13</v>
      </c>
      <c r="C18" t="s">
        <v>60</v>
      </c>
      <c r="D18" s="3">
        <v>44409</v>
      </c>
      <c r="E18" s="9">
        <f>(641+71+44+6+1+33+13.04)*11</f>
        <v>8899.4399999999987</v>
      </c>
      <c r="F18" s="9"/>
      <c r="G18" s="25">
        <f>E18+F18</f>
        <v>8899.4399999999987</v>
      </c>
      <c r="H18" s="9"/>
      <c r="I18" s="9">
        <f>0+746.82</f>
        <v>746.82</v>
      </c>
      <c r="J18" s="9">
        <v>746.82</v>
      </c>
      <c r="K18" s="9">
        <f>953.9-207.08</f>
        <v>746.81999999999994</v>
      </c>
      <c r="L18" s="9">
        <f>953.9-207.08</f>
        <v>746.81999999999994</v>
      </c>
      <c r="M18" s="9">
        <f>1447.48-327.25</f>
        <v>1120.23</v>
      </c>
      <c r="N18" s="9">
        <f>953.9-207.08</f>
        <v>746.81999999999994</v>
      </c>
      <c r="O18" s="9">
        <f>970.53-223.71</f>
        <v>746.81999999999994</v>
      </c>
      <c r="P18" s="9">
        <f>953.9-207.08</f>
        <v>746.81999999999994</v>
      </c>
      <c r="Q18" s="9">
        <f>953.9-207.08</f>
        <v>746.81999999999994</v>
      </c>
      <c r="R18" s="9">
        <v>746.82</v>
      </c>
      <c r="S18" s="9">
        <v>746.82</v>
      </c>
      <c r="T18" s="25">
        <f t="shared" si="0"/>
        <v>311.01000000000022</v>
      </c>
      <c r="U18" s="11">
        <f>(295.85+32.77+20.31+2.77+0.46+15.23+6.02)*0</f>
        <v>0</v>
      </c>
      <c r="V18" s="25">
        <f>T18-U18</f>
        <v>311.01000000000022</v>
      </c>
      <c r="W18" t="s">
        <v>37</v>
      </c>
    </row>
    <row r="19" spans="1:23" ht="15" customHeight="1" x14ac:dyDescent="0.2">
      <c r="B19" s="21">
        <v>14</v>
      </c>
      <c r="C19" t="s">
        <v>69</v>
      </c>
      <c r="D19" s="15">
        <v>44440</v>
      </c>
      <c r="E19" s="9">
        <f>33*10</f>
        <v>330</v>
      </c>
      <c r="F19" s="9"/>
      <c r="G19" s="25">
        <f>E19+F19</f>
        <v>330</v>
      </c>
      <c r="H19" s="17"/>
      <c r="I19" s="17"/>
      <c r="J19" s="9">
        <v>30.46</v>
      </c>
      <c r="K19" s="9">
        <v>30.46</v>
      </c>
      <c r="L19" s="9">
        <v>30.46</v>
      </c>
      <c r="M19" s="9">
        <v>45.69</v>
      </c>
      <c r="N19" s="9">
        <v>30.46</v>
      </c>
      <c r="O19" s="9">
        <v>30.46</v>
      </c>
      <c r="P19" s="9">
        <v>30.46</v>
      </c>
      <c r="Q19" s="9">
        <v>30.46</v>
      </c>
      <c r="R19" s="9">
        <v>30.46</v>
      </c>
      <c r="S19" s="9">
        <v>30.46</v>
      </c>
      <c r="T19" s="25">
        <f t="shared" si="0"/>
        <v>10.170000000000016</v>
      </c>
      <c r="U19" s="11">
        <f>15.23*0</f>
        <v>0</v>
      </c>
      <c r="V19" s="25">
        <f>T19-U19</f>
        <v>10.170000000000016</v>
      </c>
      <c r="W19" t="s">
        <v>35</v>
      </c>
    </row>
    <row r="20" spans="1:23" x14ac:dyDescent="0.2">
      <c r="B20" s="21">
        <v>15</v>
      </c>
      <c r="C20" t="s">
        <v>67</v>
      </c>
      <c r="D20" s="3">
        <v>44378</v>
      </c>
      <c r="E20" s="4">
        <f>(33+34+1485+14)*12</f>
        <v>18792</v>
      </c>
      <c r="F20" s="4"/>
      <c r="G20" s="25">
        <f t="shared" si="1"/>
        <v>18792</v>
      </c>
      <c r="H20" s="4">
        <f>2341.29-173.01</f>
        <v>2168.2799999999997</v>
      </c>
      <c r="I20" s="4">
        <f>1560.73-115.21</f>
        <v>1445.52</v>
      </c>
      <c r="J20" s="4">
        <v>1445.52</v>
      </c>
      <c r="K20" s="4">
        <f>1553.4-107.88</f>
        <v>1445.52</v>
      </c>
      <c r="L20" s="4">
        <f>1551.47-105.95</f>
        <v>1445.52</v>
      </c>
      <c r="M20" s="4">
        <f>2343.91-175.63</f>
        <v>2168.2799999999997</v>
      </c>
      <c r="N20" s="4">
        <f>1553.93-108.41</f>
        <v>1445.52</v>
      </c>
      <c r="O20" s="4">
        <f>1547.12-101.6</f>
        <v>1445.52</v>
      </c>
      <c r="P20" s="4">
        <f>1562.41-116.89</f>
        <v>1445.52</v>
      </c>
      <c r="Q20" s="4">
        <f>1547.23-101.71</f>
        <v>1445.52</v>
      </c>
      <c r="R20" s="4">
        <v>1445.52</v>
      </c>
      <c r="S20" s="4">
        <v>1445.52</v>
      </c>
      <c r="T20" s="25">
        <f t="shared" si="0"/>
        <v>0.23999999999796273</v>
      </c>
      <c r="U20" s="11">
        <f>(545.07+177.69)*0</f>
        <v>0</v>
      </c>
      <c r="V20" s="26">
        <f t="shared" si="2"/>
        <v>0.23999999999796273</v>
      </c>
      <c r="W20" t="s">
        <v>38</v>
      </c>
    </row>
    <row r="21" spans="1:23" x14ac:dyDescent="0.2">
      <c r="B21" s="21">
        <v>16</v>
      </c>
      <c r="C21" t="s">
        <v>68</v>
      </c>
      <c r="D21" s="3">
        <v>44378</v>
      </c>
      <c r="E21" s="4">
        <f>(33+88+1375+14)*12</f>
        <v>18120</v>
      </c>
      <c r="F21" s="4"/>
      <c r="G21" s="25">
        <f t="shared" si="1"/>
        <v>18120</v>
      </c>
      <c r="H21" s="4">
        <f>2723.4-276.93-355.68</f>
        <v>2090.7900000000004</v>
      </c>
      <c r="I21" s="4">
        <f>1816.82-184.62-238.34</f>
        <v>1393.86</v>
      </c>
      <c r="J21" s="4">
        <v>1393.86</v>
      </c>
      <c r="K21" s="4">
        <f>1816.82-184.62-238.34</f>
        <v>1393.86</v>
      </c>
      <c r="L21" s="4">
        <f>1816.82-238.34-184.62</f>
        <v>1393.8600000000001</v>
      </c>
      <c r="M21" s="4">
        <f>2741.47-373.75-276.93</f>
        <v>2090.79</v>
      </c>
      <c r="N21" s="4">
        <f>1816.82-238.34-184.62</f>
        <v>1393.8600000000001</v>
      </c>
      <c r="O21" s="4">
        <f>1816.82-238.34-184.62</f>
        <v>1393.8600000000001</v>
      </c>
      <c r="P21" s="4">
        <f>1816.82-184.62-238.34</f>
        <v>1393.86</v>
      </c>
      <c r="Q21" s="4">
        <f>1816.82-238.34-184.62</f>
        <v>1393.8600000000001</v>
      </c>
      <c r="R21" s="4">
        <v>1393.86</v>
      </c>
      <c r="S21" s="4">
        <v>1393.86</v>
      </c>
      <c r="T21" s="25">
        <f t="shared" si="0"/>
        <v>-0.18000000000392902</v>
      </c>
      <c r="U21" s="11">
        <f>(523.4+173.53)*0</f>
        <v>0</v>
      </c>
      <c r="V21" s="26">
        <f t="shared" si="2"/>
        <v>-0.18000000000392902</v>
      </c>
      <c r="W21" t="s">
        <v>39</v>
      </c>
    </row>
    <row r="22" spans="1:23" x14ac:dyDescent="0.2">
      <c r="B22" s="21">
        <v>17</v>
      </c>
      <c r="C22" t="s">
        <v>70</v>
      </c>
      <c r="D22" s="3">
        <v>44378</v>
      </c>
      <c r="E22" s="4">
        <f>33*12</f>
        <v>396</v>
      </c>
      <c r="F22" s="4"/>
      <c r="G22" s="25">
        <f t="shared" si="1"/>
        <v>396</v>
      </c>
      <c r="H22" s="4">
        <f>0+45.69</f>
        <v>45.69</v>
      </c>
      <c r="I22" s="4">
        <f>30.46</f>
        <v>30.46</v>
      </c>
      <c r="J22" s="4">
        <v>30.46</v>
      </c>
      <c r="K22" s="4">
        <v>30.46</v>
      </c>
      <c r="L22" s="4">
        <v>30.46</v>
      </c>
      <c r="M22" s="4">
        <f>30.46+15.23</f>
        <v>45.69</v>
      </c>
      <c r="N22" s="4">
        <v>30.46</v>
      </c>
      <c r="O22" s="4">
        <v>30.46</v>
      </c>
      <c r="P22" s="4">
        <v>30.46</v>
      </c>
      <c r="Q22" s="4">
        <v>30.46</v>
      </c>
      <c r="R22" s="4">
        <v>30.46</v>
      </c>
      <c r="S22" s="4">
        <v>30.46</v>
      </c>
      <c r="T22" s="25">
        <f t="shared" si="0"/>
        <v>2.0000000000038654E-2</v>
      </c>
      <c r="U22" s="11">
        <f>15.23*0</f>
        <v>0</v>
      </c>
      <c r="V22" s="26">
        <f t="shared" si="2"/>
        <v>2.0000000000038654E-2</v>
      </c>
      <c r="W22" t="s">
        <v>27</v>
      </c>
    </row>
    <row r="23" spans="1:23" x14ac:dyDescent="0.2">
      <c r="B23" s="21">
        <v>18</v>
      </c>
      <c r="C23" t="s">
        <v>71</v>
      </c>
      <c r="D23" s="15">
        <v>44440</v>
      </c>
      <c r="E23" s="9">
        <f>(325+36+23+33)*10</f>
        <v>4170</v>
      </c>
      <c r="F23" s="4"/>
      <c r="G23" s="25">
        <f t="shared" si="1"/>
        <v>4170</v>
      </c>
      <c r="H23" s="17"/>
      <c r="I23" s="17"/>
      <c r="J23" s="4">
        <v>384.94</v>
      </c>
      <c r="K23" s="4">
        <f>554.4-169.46</f>
        <v>384.93999999999994</v>
      </c>
      <c r="L23" s="4">
        <f>554.4-169.46</f>
        <v>384.93999999999994</v>
      </c>
      <c r="M23" s="4">
        <f>848.23-270.82</f>
        <v>577.41000000000008</v>
      </c>
      <c r="N23" s="4">
        <f>554.4-169.46</f>
        <v>384.93999999999994</v>
      </c>
      <c r="O23" s="4">
        <f>571.03-186.09</f>
        <v>384.93999999999994</v>
      </c>
      <c r="P23" s="4">
        <f>554.4-169.46</f>
        <v>384.93999999999994</v>
      </c>
      <c r="Q23" s="4">
        <f>554.4-169.46</f>
        <v>384.93999999999994</v>
      </c>
      <c r="R23" s="4">
        <v>384.94</v>
      </c>
      <c r="S23" s="4">
        <v>384.94</v>
      </c>
      <c r="T23" s="25">
        <f t="shared" si="0"/>
        <v>128.13000000000011</v>
      </c>
      <c r="U23" s="11">
        <f>(150+16.62+10.62+15.23)*0</f>
        <v>0</v>
      </c>
      <c r="V23" s="26">
        <f t="shared" si="2"/>
        <v>128.13000000000011</v>
      </c>
      <c r="W23" t="s">
        <v>40</v>
      </c>
    </row>
    <row r="24" spans="1:23" x14ac:dyDescent="0.2">
      <c r="B24" s="21">
        <v>19</v>
      </c>
      <c r="C24" t="s">
        <v>72</v>
      </c>
      <c r="D24" s="3">
        <v>44378</v>
      </c>
      <c r="E24" s="4">
        <f>33*12</f>
        <v>396</v>
      </c>
      <c r="F24" s="4"/>
      <c r="G24" s="25">
        <f t="shared" si="1"/>
        <v>396</v>
      </c>
      <c r="H24" s="4">
        <v>45.69</v>
      </c>
      <c r="I24" s="4">
        <f>30.46</f>
        <v>30.46</v>
      </c>
      <c r="J24" s="4">
        <v>30.46</v>
      </c>
      <c r="K24" s="4">
        <v>30.46</v>
      </c>
      <c r="L24" s="4">
        <v>30.46</v>
      </c>
      <c r="M24" s="4">
        <v>45.69</v>
      </c>
      <c r="N24" s="4">
        <v>30.46</v>
      </c>
      <c r="O24" s="4">
        <v>30.46</v>
      </c>
      <c r="P24" s="4">
        <f>30.46</f>
        <v>30.46</v>
      </c>
      <c r="Q24" s="4">
        <v>30.46</v>
      </c>
      <c r="R24" s="4">
        <v>30.46</v>
      </c>
      <c r="S24" s="4">
        <v>30.46</v>
      </c>
      <c r="T24" s="25">
        <f t="shared" si="0"/>
        <v>2.0000000000038654E-2</v>
      </c>
      <c r="U24" s="11">
        <f>15.23*0</f>
        <v>0</v>
      </c>
      <c r="V24" s="26">
        <f t="shared" si="2"/>
        <v>2.0000000000038654E-2</v>
      </c>
      <c r="W24" t="s">
        <v>27</v>
      </c>
    </row>
    <row r="25" spans="1:23" x14ac:dyDescent="0.2">
      <c r="B25" s="21">
        <v>20</v>
      </c>
      <c r="C25" t="s">
        <v>73</v>
      </c>
      <c r="D25" s="15">
        <v>44440</v>
      </c>
      <c r="E25" s="4">
        <f>(9.5+59+712+7+33)*10</f>
        <v>8205</v>
      </c>
      <c r="F25" s="4">
        <f>-820.5*4</f>
        <v>-3282</v>
      </c>
      <c r="G25" s="25">
        <f t="shared" si="1"/>
        <v>4923</v>
      </c>
      <c r="H25" s="17"/>
      <c r="I25" s="17"/>
      <c r="J25" s="4">
        <v>757.38</v>
      </c>
      <c r="K25" s="4">
        <f>941.46-184.08</f>
        <v>757.38</v>
      </c>
      <c r="L25" s="4">
        <f>941.46-184.08</f>
        <v>757.38</v>
      </c>
      <c r="M25" s="4">
        <f>1428.82-292.75</f>
        <v>1136.07</v>
      </c>
      <c r="N25" s="4">
        <f>941.46-184.08</f>
        <v>757.38</v>
      </c>
      <c r="O25" s="4">
        <f>1062.85-305.47</f>
        <v>757.37999999999988</v>
      </c>
      <c r="P25" s="17"/>
      <c r="Q25" s="17"/>
      <c r="R25" s="17"/>
      <c r="S25" s="17"/>
      <c r="T25" s="25">
        <f t="shared" si="0"/>
        <v>2.9999999999745341E-2</v>
      </c>
      <c r="U25" s="11">
        <v>0</v>
      </c>
      <c r="V25" s="26">
        <f t="shared" si="2"/>
        <v>2.9999999999745341E-2</v>
      </c>
      <c r="W25" t="s">
        <v>75</v>
      </c>
    </row>
    <row r="26" spans="1:23" x14ac:dyDescent="0.2">
      <c r="B26" s="21">
        <v>21</v>
      </c>
      <c r="C26" t="s">
        <v>74</v>
      </c>
      <c r="D26" s="3">
        <v>44378</v>
      </c>
      <c r="E26" s="4">
        <f>(33+62+658+14)*12</f>
        <v>9204</v>
      </c>
      <c r="F26" s="4"/>
      <c r="G26" s="25">
        <f t="shared" si="1"/>
        <v>9204</v>
      </c>
      <c r="H26" s="4">
        <f>1305.38-243.38</f>
        <v>1062</v>
      </c>
      <c r="I26" s="4">
        <f>873.16-165.16</f>
        <v>708</v>
      </c>
      <c r="J26" s="4">
        <v>708</v>
      </c>
      <c r="K26" s="4">
        <f>877.3-169.3</f>
        <v>708</v>
      </c>
      <c r="L26" s="4">
        <f>893.54-185.54</f>
        <v>708</v>
      </c>
      <c r="M26" s="4">
        <f>1337.77-275.77</f>
        <v>1062</v>
      </c>
      <c r="N26" s="4">
        <f>875.6-167.6</f>
        <v>708</v>
      </c>
      <c r="O26" s="4">
        <f>872.25-164.25</f>
        <v>708</v>
      </c>
      <c r="P26" s="4">
        <f>875.23-167.23</f>
        <v>708</v>
      </c>
      <c r="Q26" s="4">
        <f>877.33-169.33</f>
        <v>708</v>
      </c>
      <c r="R26" s="4">
        <v>708</v>
      </c>
      <c r="S26" s="4">
        <v>708</v>
      </c>
      <c r="T26" s="25">
        <f t="shared" si="0"/>
        <v>0</v>
      </c>
      <c r="U26" s="11">
        <f>(313.85+40.15)*0</f>
        <v>0</v>
      </c>
      <c r="V26" s="26">
        <f t="shared" si="2"/>
        <v>0</v>
      </c>
    </row>
    <row r="27" spans="1:23" x14ac:dyDescent="0.2"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>
        <f t="shared" si="0"/>
        <v>0</v>
      </c>
      <c r="U27" s="11"/>
      <c r="V27" s="28"/>
    </row>
    <row r="28" spans="1:23" x14ac:dyDescent="0.2">
      <c r="B28" s="19" t="s">
        <v>41</v>
      </c>
      <c r="E28" s="26">
        <f t="shared" ref="E28:V28" si="3">SUM(E6:E27)</f>
        <v>159131.84</v>
      </c>
      <c r="F28" s="26">
        <f t="shared" si="3"/>
        <v>-3372</v>
      </c>
      <c r="G28" s="26">
        <f t="shared" si="3"/>
        <v>155759.84</v>
      </c>
      <c r="H28" s="26">
        <f t="shared" si="3"/>
        <v>14481.93</v>
      </c>
      <c r="I28" s="26">
        <f t="shared" si="3"/>
        <v>10403.739999999998</v>
      </c>
      <c r="J28" s="26">
        <f t="shared" si="3"/>
        <v>12668.059999999998</v>
      </c>
      <c r="K28" s="26">
        <f t="shared" si="3"/>
        <v>12668.059999999998</v>
      </c>
      <c r="L28" s="26">
        <f t="shared" si="3"/>
        <v>12668.059999999998</v>
      </c>
      <c r="M28" s="26">
        <f t="shared" si="3"/>
        <v>19002.090000000004</v>
      </c>
      <c r="N28" s="26">
        <f t="shared" si="3"/>
        <v>12668.059999999998</v>
      </c>
      <c r="O28" s="26">
        <f t="shared" si="3"/>
        <v>12620.979999999998</v>
      </c>
      <c r="P28" s="26">
        <f t="shared" si="3"/>
        <v>11984.519999999999</v>
      </c>
      <c r="Q28" s="26">
        <f t="shared" si="3"/>
        <v>11925.439999999999</v>
      </c>
      <c r="R28" s="26">
        <f t="shared" si="3"/>
        <v>11924.519999999999</v>
      </c>
      <c r="S28" s="26">
        <f t="shared" si="3"/>
        <v>11924.519999999999</v>
      </c>
      <c r="T28" s="26">
        <f t="shared" si="3"/>
        <v>819.85999999998739</v>
      </c>
      <c r="U28" s="25">
        <f t="shared" si="3"/>
        <v>0</v>
      </c>
      <c r="V28" s="26">
        <f t="shared" si="3"/>
        <v>819.85999999998739</v>
      </c>
      <c r="W28" t="s">
        <v>42</v>
      </c>
    </row>
    <row r="29" spans="1:23" x14ac:dyDescent="0.2">
      <c r="B29" s="19" t="s">
        <v>43</v>
      </c>
      <c r="E29" s="6"/>
      <c r="F29" s="6"/>
      <c r="G29" s="6"/>
      <c r="H29" s="6">
        <f>14321.31+160.62</f>
        <v>14481.93</v>
      </c>
      <c r="I29" s="6">
        <f>9656.92+746.82</f>
        <v>10403.74</v>
      </c>
      <c r="J29" s="6">
        <v>12668.06</v>
      </c>
      <c r="K29" s="6">
        <v>12668.06</v>
      </c>
      <c r="L29" s="6">
        <v>12668.06</v>
      </c>
      <c r="M29" s="6">
        <f>18986.86+15.23</f>
        <v>19002.09</v>
      </c>
      <c r="N29" s="6">
        <v>12668.06</v>
      </c>
      <c r="O29" s="6">
        <v>12620.98</v>
      </c>
      <c r="P29" s="6">
        <f>11924.52+60</f>
        <v>11984.52</v>
      </c>
      <c r="Q29" s="6">
        <v>11925.44</v>
      </c>
      <c r="R29" s="6">
        <v>11924.52</v>
      </c>
      <c r="S29" s="6">
        <v>11924.52</v>
      </c>
      <c r="T29" s="6"/>
      <c r="V29" s="7">
        <v>819.86</v>
      </c>
      <c r="W29" t="s">
        <v>44</v>
      </c>
    </row>
    <row r="30" spans="1:23" x14ac:dyDescent="0.2">
      <c r="B30" s="19" t="s">
        <v>25</v>
      </c>
      <c r="E30" s="6"/>
      <c r="F30" s="6"/>
      <c r="G30" s="6"/>
      <c r="H30" s="26">
        <f>H28-H29</f>
        <v>0</v>
      </c>
      <c r="I30" s="26">
        <f t="shared" ref="I30:S30" si="4">I28-I29</f>
        <v>0</v>
      </c>
      <c r="J30" s="26">
        <f t="shared" si="4"/>
        <v>0</v>
      </c>
      <c r="K30" s="26">
        <f t="shared" si="4"/>
        <v>0</v>
      </c>
      <c r="L30" s="26">
        <f t="shared" si="4"/>
        <v>0</v>
      </c>
      <c r="M30" s="26">
        <f t="shared" si="4"/>
        <v>0</v>
      </c>
      <c r="N30" s="26">
        <f t="shared" si="4"/>
        <v>0</v>
      </c>
      <c r="O30" s="26">
        <f t="shared" si="4"/>
        <v>0</v>
      </c>
      <c r="P30" s="26">
        <f t="shared" si="4"/>
        <v>0</v>
      </c>
      <c r="Q30" s="26">
        <f t="shared" si="4"/>
        <v>0</v>
      </c>
      <c r="R30" s="26">
        <f t="shared" si="4"/>
        <v>0</v>
      </c>
      <c r="S30" s="26">
        <f t="shared" si="4"/>
        <v>0</v>
      </c>
      <c r="T30" s="6"/>
      <c r="V30" s="27">
        <f>V28-V29</f>
        <v>-1.2619238987099379E-11</v>
      </c>
    </row>
    <row r="31" spans="1:23" x14ac:dyDescent="0.2">
      <c r="A31" s="10"/>
      <c r="B31" s="2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3"/>
      <c r="V31" s="10"/>
    </row>
    <row r="32" spans="1:23" x14ac:dyDescent="0.2">
      <c r="B32" s="19" t="s">
        <v>45</v>
      </c>
    </row>
    <row r="34" spans="2:22" x14ac:dyDescent="0.2">
      <c r="B34" s="21" t="s">
        <v>2</v>
      </c>
      <c r="C34" t="s">
        <v>3</v>
      </c>
      <c r="D34" t="s">
        <v>4</v>
      </c>
      <c r="E34" t="s">
        <v>5</v>
      </c>
      <c r="G34" t="s">
        <v>6</v>
      </c>
    </row>
    <row r="35" spans="2:22" x14ac:dyDescent="0.2">
      <c r="B35" s="22" t="s">
        <v>8</v>
      </c>
      <c r="C35" s="1" t="s">
        <v>8</v>
      </c>
      <c r="D35" s="1" t="s">
        <v>9</v>
      </c>
      <c r="E35" s="1" t="s">
        <v>10</v>
      </c>
      <c r="F35" s="1" t="s">
        <v>11</v>
      </c>
      <c r="G35" s="1" t="s">
        <v>12</v>
      </c>
      <c r="H35" s="1" t="s">
        <v>13</v>
      </c>
      <c r="I35" s="1" t="s">
        <v>14</v>
      </c>
      <c r="J35" s="1" t="s">
        <v>15</v>
      </c>
      <c r="K35" s="1" t="s">
        <v>16</v>
      </c>
      <c r="L35" s="1" t="s">
        <v>17</v>
      </c>
      <c r="M35" s="1" t="s">
        <v>18</v>
      </c>
      <c r="N35" s="1" t="s">
        <v>19</v>
      </c>
      <c r="O35" s="1" t="s">
        <v>20</v>
      </c>
      <c r="P35" s="1" t="s">
        <v>21</v>
      </c>
      <c r="Q35" s="1" t="s">
        <v>22</v>
      </c>
      <c r="R35" s="1" t="s">
        <v>23</v>
      </c>
      <c r="S35" s="1" t="s">
        <v>24</v>
      </c>
      <c r="T35" s="1" t="s">
        <v>25</v>
      </c>
      <c r="U35" s="12" t="s">
        <v>46</v>
      </c>
      <c r="V35" s="2" t="s">
        <v>25</v>
      </c>
    </row>
    <row r="36" spans="2:22" x14ac:dyDescent="0.2">
      <c r="B36" s="21">
        <v>1</v>
      </c>
      <c r="C36" t="s">
        <v>53</v>
      </c>
      <c r="D36" s="3">
        <v>44378</v>
      </c>
      <c r="E36" s="4">
        <f>33*12</f>
        <v>396</v>
      </c>
      <c r="F36" s="4"/>
      <c r="G36" s="9">
        <f>E36+F36</f>
        <v>396</v>
      </c>
      <c r="H36" s="4">
        <v>33</v>
      </c>
      <c r="I36" s="4">
        <v>33</v>
      </c>
      <c r="J36" s="4">
        <v>33</v>
      </c>
      <c r="K36" s="4">
        <v>33</v>
      </c>
      <c r="L36" s="4">
        <v>33</v>
      </c>
      <c r="M36" s="4">
        <v>33</v>
      </c>
      <c r="N36" s="4">
        <v>33</v>
      </c>
      <c r="O36" s="4">
        <v>33</v>
      </c>
      <c r="P36" s="4">
        <v>33</v>
      </c>
      <c r="Q36" s="4">
        <v>33</v>
      </c>
      <c r="R36" s="4">
        <v>33</v>
      </c>
      <c r="S36" s="4">
        <v>33</v>
      </c>
      <c r="T36" s="4">
        <f t="shared" ref="T36:T56" si="5">G36-SUM(H36:S36)</f>
        <v>0</v>
      </c>
      <c r="U36" s="11">
        <f>33*0</f>
        <v>0</v>
      </c>
      <c r="V36" s="26">
        <f>T36-U36</f>
        <v>0</v>
      </c>
    </row>
    <row r="37" spans="2:22" x14ac:dyDescent="0.2">
      <c r="B37" s="21">
        <v>2</v>
      </c>
      <c r="C37" t="s">
        <v>62</v>
      </c>
      <c r="D37" s="3">
        <v>44378</v>
      </c>
      <c r="E37" s="4">
        <f>(33+44+7)*12</f>
        <v>1008</v>
      </c>
      <c r="F37" s="4">
        <f>-84*5</f>
        <v>-420</v>
      </c>
      <c r="G37" s="9">
        <f t="shared" ref="G37:G45" si="6">E37+F37</f>
        <v>588</v>
      </c>
      <c r="H37" s="4">
        <v>84</v>
      </c>
      <c r="I37" s="4">
        <v>84</v>
      </c>
      <c r="J37" s="4">
        <v>84</v>
      </c>
      <c r="K37" s="4">
        <v>84</v>
      </c>
      <c r="L37" s="4">
        <v>84</v>
      </c>
      <c r="M37" s="4">
        <v>84</v>
      </c>
      <c r="N37" s="4">
        <v>84</v>
      </c>
      <c r="O37" s="4">
        <v>84</v>
      </c>
      <c r="P37" s="4">
        <v>-84</v>
      </c>
      <c r="Q37" s="17"/>
      <c r="R37" s="17"/>
      <c r="S37" s="17"/>
      <c r="T37" s="4">
        <f t="shared" si="5"/>
        <v>0</v>
      </c>
      <c r="U37" s="11">
        <v>0</v>
      </c>
      <c r="V37" s="26">
        <f t="shared" ref="V37:V57" si="7">T37-U37</f>
        <v>0</v>
      </c>
    </row>
    <row r="38" spans="2:22" x14ac:dyDescent="0.2">
      <c r="B38" s="21">
        <v>3</v>
      </c>
      <c r="C38" t="s">
        <v>54</v>
      </c>
      <c r="D38" s="3">
        <v>44378</v>
      </c>
      <c r="E38" s="4">
        <f>33*12</f>
        <v>396</v>
      </c>
      <c r="F38" s="4"/>
      <c r="G38" s="9">
        <f t="shared" si="6"/>
        <v>396</v>
      </c>
      <c r="H38" s="4">
        <v>33</v>
      </c>
      <c r="I38" s="4">
        <v>33</v>
      </c>
      <c r="J38" s="4">
        <v>33</v>
      </c>
      <c r="K38" s="4">
        <v>33</v>
      </c>
      <c r="L38" s="4">
        <v>33</v>
      </c>
      <c r="M38" s="4">
        <v>33</v>
      </c>
      <c r="N38" s="4">
        <v>33</v>
      </c>
      <c r="O38" s="4">
        <v>33</v>
      </c>
      <c r="P38" s="4">
        <v>33</v>
      </c>
      <c r="Q38" s="4">
        <v>33</v>
      </c>
      <c r="R38" s="4">
        <v>33</v>
      </c>
      <c r="S38" s="4">
        <v>33</v>
      </c>
      <c r="T38" s="4">
        <f t="shared" si="5"/>
        <v>0</v>
      </c>
      <c r="U38" s="11">
        <f>33*0</f>
        <v>0</v>
      </c>
      <c r="V38" s="26">
        <f t="shared" si="7"/>
        <v>0</v>
      </c>
    </row>
    <row r="39" spans="2:22" x14ac:dyDescent="0.2">
      <c r="B39" s="21">
        <v>4</v>
      </c>
      <c r="C39" t="s">
        <v>63</v>
      </c>
      <c r="D39" s="3">
        <v>44378</v>
      </c>
      <c r="E39" s="4">
        <f>(33+23+712+7)*12</f>
        <v>9300</v>
      </c>
      <c r="F39" s="4"/>
      <c r="G39" s="9">
        <f t="shared" si="6"/>
        <v>9300</v>
      </c>
      <c r="H39" s="4">
        <v>775</v>
      </c>
      <c r="I39" s="4">
        <v>775</v>
      </c>
      <c r="J39" s="4">
        <v>775</v>
      </c>
      <c r="K39" s="4">
        <v>775</v>
      </c>
      <c r="L39" s="4">
        <v>775</v>
      </c>
      <c r="M39" s="4">
        <v>775</v>
      </c>
      <c r="N39" s="4">
        <v>775</v>
      </c>
      <c r="O39" s="4">
        <v>775</v>
      </c>
      <c r="P39" s="4">
        <v>775</v>
      </c>
      <c r="Q39" s="4">
        <v>775</v>
      </c>
      <c r="R39" s="4">
        <v>775</v>
      </c>
      <c r="S39" s="4">
        <v>775</v>
      </c>
      <c r="T39" s="4">
        <f t="shared" si="5"/>
        <v>0</v>
      </c>
      <c r="U39" s="11">
        <f>775*0</f>
        <v>0</v>
      </c>
      <c r="V39" s="26">
        <f t="shared" si="7"/>
        <v>0</v>
      </c>
    </row>
    <row r="40" spans="2:22" x14ac:dyDescent="0.2">
      <c r="B40" s="21">
        <v>5</v>
      </c>
      <c r="C40" t="s">
        <v>64</v>
      </c>
      <c r="D40" s="15">
        <v>44440</v>
      </c>
      <c r="E40" s="4">
        <f>(33+59+361+7)*10</f>
        <v>4600</v>
      </c>
      <c r="F40" s="4"/>
      <c r="G40" s="9">
        <f t="shared" si="6"/>
        <v>4600</v>
      </c>
      <c r="H40" s="17"/>
      <c r="I40" s="17"/>
      <c r="J40" s="4"/>
      <c r="K40" s="4">
        <f>460+460</f>
        <v>920</v>
      </c>
      <c r="L40" s="4">
        <v>460</v>
      </c>
      <c r="M40" s="4">
        <v>460</v>
      </c>
      <c r="N40" s="4">
        <v>460</v>
      </c>
      <c r="O40" s="4">
        <v>460</v>
      </c>
      <c r="P40" s="4">
        <v>460</v>
      </c>
      <c r="Q40" s="4">
        <v>460</v>
      </c>
      <c r="R40" s="4">
        <v>460</v>
      </c>
      <c r="S40" s="4">
        <v>460</v>
      </c>
      <c r="T40" s="4">
        <f t="shared" si="5"/>
        <v>0</v>
      </c>
      <c r="U40" s="11">
        <f>460*0</f>
        <v>0</v>
      </c>
      <c r="V40" s="26">
        <f t="shared" si="7"/>
        <v>0</v>
      </c>
    </row>
    <row r="41" spans="2:22" x14ac:dyDescent="0.2">
      <c r="B41" s="21">
        <v>6</v>
      </c>
      <c r="C41" t="s">
        <v>55</v>
      </c>
      <c r="D41" s="15">
        <v>44440</v>
      </c>
      <c r="E41" s="4">
        <f>(33+658)*10</f>
        <v>6910</v>
      </c>
      <c r="F41" s="4"/>
      <c r="G41" s="9">
        <f t="shared" si="6"/>
        <v>6910</v>
      </c>
      <c r="H41" s="17"/>
      <c r="I41" s="17"/>
      <c r="J41" s="4"/>
      <c r="K41" s="4">
        <f>691+691</f>
        <v>1382</v>
      </c>
      <c r="L41" s="4">
        <v>691</v>
      </c>
      <c r="M41" s="4">
        <v>691</v>
      </c>
      <c r="N41" s="4">
        <v>691</v>
      </c>
      <c r="O41" s="4">
        <v>691</v>
      </c>
      <c r="P41" s="4">
        <v>691</v>
      </c>
      <c r="Q41" s="4">
        <v>691</v>
      </c>
      <c r="R41" s="4">
        <v>691</v>
      </c>
      <c r="S41" s="4">
        <v>691</v>
      </c>
      <c r="T41" s="4">
        <f t="shared" si="5"/>
        <v>0</v>
      </c>
      <c r="U41" s="11">
        <f>691*0</f>
        <v>0</v>
      </c>
      <c r="V41" s="26">
        <f t="shared" si="7"/>
        <v>0</v>
      </c>
    </row>
    <row r="42" spans="2:22" x14ac:dyDescent="0.2">
      <c r="B42" s="21">
        <v>7</v>
      </c>
      <c r="C42" t="s">
        <v>65</v>
      </c>
      <c r="D42" s="3">
        <v>44378</v>
      </c>
      <c r="E42" s="9">
        <f>(33+88+1452+15)*12</f>
        <v>19056</v>
      </c>
      <c r="F42" s="9"/>
      <c r="G42" s="9">
        <f t="shared" si="6"/>
        <v>19056</v>
      </c>
      <c r="H42" s="4">
        <v>1588</v>
      </c>
      <c r="I42" s="4">
        <v>1588</v>
      </c>
      <c r="J42" s="4">
        <v>1588</v>
      </c>
      <c r="K42" s="4">
        <v>1588</v>
      </c>
      <c r="L42" s="4">
        <v>1588</v>
      </c>
      <c r="M42" s="4">
        <v>1588</v>
      </c>
      <c r="N42" s="4">
        <v>1588</v>
      </c>
      <c r="O42" s="4">
        <v>1588</v>
      </c>
      <c r="P42" s="4">
        <v>1588</v>
      </c>
      <c r="Q42" s="4">
        <v>1588</v>
      </c>
      <c r="R42" s="4">
        <v>1588</v>
      </c>
      <c r="S42" s="4">
        <v>1588</v>
      </c>
      <c r="T42" s="4">
        <f t="shared" si="5"/>
        <v>0</v>
      </c>
      <c r="U42" s="11">
        <f>1588*0</f>
        <v>0</v>
      </c>
      <c r="V42" s="26">
        <f t="shared" si="7"/>
        <v>0</v>
      </c>
    </row>
    <row r="43" spans="2:22" x14ac:dyDescent="0.2">
      <c r="B43" s="21">
        <v>8</v>
      </c>
      <c r="C43" t="s">
        <v>56</v>
      </c>
      <c r="D43" s="3">
        <v>44378</v>
      </c>
      <c r="E43" s="9">
        <f>(33+100+2315+21)*12</f>
        <v>29628</v>
      </c>
      <c r="F43" s="9"/>
      <c r="G43" s="9">
        <f t="shared" si="6"/>
        <v>29628</v>
      </c>
      <c r="H43" s="4">
        <v>2469</v>
      </c>
      <c r="I43" s="4">
        <v>2469</v>
      </c>
      <c r="J43" s="4">
        <v>2469</v>
      </c>
      <c r="K43" s="4">
        <v>2469</v>
      </c>
      <c r="L43" s="4">
        <v>2469</v>
      </c>
      <c r="M43" s="4">
        <v>2469</v>
      </c>
      <c r="N43" s="4">
        <v>2469</v>
      </c>
      <c r="O43" s="4">
        <v>2469</v>
      </c>
      <c r="P43" s="4">
        <v>2469</v>
      </c>
      <c r="Q43" s="4">
        <v>2469</v>
      </c>
      <c r="R43" s="4">
        <v>2469</v>
      </c>
      <c r="S43" s="4">
        <v>2469</v>
      </c>
      <c r="T43" s="4">
        <f t="shared" si="5"/>
        <v>0</v>
      </c>
      <c r="U43" s="11">
        <f>2469*0</f>
        <v>0</v>
      </c>
      <c r="V43" s="26">
        <f t="shared" si="7"/>
        <v>0</v>
      </c>
    </row>
    <row r="44" spans="2:22" x14ac:dyDescent="0.2">
      <c r="B44" s="21">
        <v>9</v>
      </c>
      <c r="C44" t="s">
        <v>57</v>
      </c>
      <c r="D44" s="3">
        <v>44593</v>
      </c>
      <c r="E44" s="9">
        <f>33*5</f>
        <v>165</v>
      </c>
      <c r="F44" s="9">
        <f>(7+59)*5</f>
        <v>330</v>
      </c>
      <c r="G44" s="9">
        <f t="shared" si="6"/>
        <v>495</v>
      </c>
      <c r="H44" s="17"/>
      <c r="I44" s="17"/>
      <c r="J44" s="17"/>
      <c r="K44" s="17"/>
      <c r="L44" s="17"/>
      <c r="M44" s="17"/>
      <c r="N44" s="17"/>
      <c r="O44" s="4"/>
      <c r="P44" s="4">
        <v>66</v>
      </c>
      <c r="Q44" s="4">
        <v>231</v>
      </c>
      <c r="R44" s="4">
        <v>99</v>
      </c>
      <c r="S44" s="4">
        <v>99</v>
      </c>
      <c r="T44" s="4">
        <f t="shared" si="5"/>
        <v>0</v>
      </c>
      <c r="U44" s="11">
        <f>(33+7+59)*0</f>
        <v>0</v>
      </c>
      <c r="V44" s="26">
        <f t="shared" si="7"/>
        <v>0</v>
      </c>
    </row>
    <row r="45" spans="2:22" x14ac:dyDescent="0.2">
      <c r="B45" s="21">
        <v>10</v>
      </c>
      <c r="C45" t="s">
        <v>58</v>
      </c>
      <c r="D45" s="15">
        <v>44440</v>
      </c>
      <c r="E45" s="9">
        <f>33*10</f>
        <v>330</v>
      </c>
      <c r="F45" s="9"/>
      <c r="G45" s="9">
        <f t="shared" si="6"/>
        <v>330</v>
      </c>
      <c r="H45" s="17"/>
      <c r="I45" s="17"/>
      <c r="J45" s="4"/>
      <c r="K45" s="4"/>
      <c r="L45" s="4">
        <f>33+66</f>
        <v>99</v>
      </c>
      <c r="M45" s="4">
        <v>33</v>
      </c>
      <c r="N45" s="4">
        <v>33</v>
      </c>
      <c r="O45" s="4">
        <v>33</v>
      </c>
      <c r="P45" s="4">
        <v>33</v>
      </c>
      <c r="Q45" s="4">
        <v>33</v>
      </c>
      <c r="R45" s="4">
        <v>33</v>
      </c>
      <c r="S45" s="4">
        <v>33</v>
      </c>
      <c r="T45" s="4">
        <f t="shared" si="5"/>
        <v>0</v>
      </c>
      <c r="U45" s="11">
        <f>33*0</f>
        <v>0</v>
      </c>
      <c r="V45" s="26">
        <f t="shared" si="7"/>
        <v>0</v>
      </c>
    </row>
    <row r="46" spans="2:22" x14ac:dyDescent="0.2">
      <c r="B46" s="21">
        <v>11</v>
      </c>
      <c r="C46" t="s">
        <v>59</v>
      </c>
      <c r="D46" s="3">
        <v>44378</v>
      </c>
      <c r="E46" s="4">
        <f>(33+59+1.2+658+7)*12</f>
        <v>9098.4000000000015</v>
      </c>
      <c r="F46" s="4"/>
      <c r="G46" s="9">
        <f>E46+F46</f>
        <v>9098.4000000000015</v>
      </c>
      <c r="H46" s="4">
        <v>758.2</v>
      </c>
      <c r="I46" s="4">
        <v>758.2</v>
      </c>
      <c r="J46" s="4">
        <v>758.2</v>
      </c>
      <c r="K46" s="4">
        <v>758.2</v>
      </c>
      <c r="L46" s="4">
        <v>758.2</v>
      </c>
      <c r="M46" s="4">
        <v>758.2</v>
      </c>
      <c r="N46" s="4">
        <v>758.2</v>
      </c>
      <c r="O46" s="4">
        <v>758.2</v>
      </c>
      <c r="P46" s="4">
        <v>758.2</v>
      </c>
      <c r="Q46" s="4">
        <v>758.2</v>
      </c>
      <c r="R46" s="4">
        <v>758.2</v>
      </c>
      <c r="S46" s="4">
        <v>758.2</v>
      </c>
      <c r="T46" s="4">
        <f t="shared" si="5"/>
        <v>0</v>
      </c>
      <c r="U46" s="11">
        <f>758.2*0</f>
        <v>0</v>
      </c>
      <c r="V46" s="26">
        <f t="shared" si="7"/>
        <v>0</v>
      </c>
    </row>
    <row r="47" spans="2:22" x14ac:dyDescent="0.2">
      <c r="B47" s="21">
        <v>12</v>
      </c>
      <c r="C47" t="s">
        <v>66</v>
      </c>
      <c r="D47" s="3">
        <v>44378</v>
      </c>
      <c r="E47" s="9">
        <f>(33+59+712+7)*12</f>
        <v>9732</v>
      </c>
      <c r="F47" s="9"/>
      <c r="G47" s="9">
        <f>E47+F47</f>
        <v>9732</v>
      </c>
      <c r="H47" s="9">
        <v>811</v>
      </c>
      <c r="I47" s="9">
        <v>811</v>
      </c>
      <c r="J47" s="9">
        <v>811</v>
      </c>
      <c r="K47" s="9">
        <v>811</v>
      </c>
      <c r="L47" s="9">
        <v>811</v>
      </c>
      <c r="M47" s="9">
        <v>811</v>
      </c>
      <c r="N47" s="9">
        <v>811</v>
      </c>
      <c r="O47" s="9">
        <v>811</v>
      </c>
      <c r="P47" s="9">
        <v>811</v>
      </c>
      <c r="Q47" s="9">
        <v>811</v>
      </c>
      <c r="R47" s="9">
        <v>811</v>
      </c>
      <c r="S47" s="9">
        <v>811</v>
      </c>
      <c r="T47" s="9">
        <f t="shared" si="5"/>
        <v>0</v>
      </c>
      <c r="U47" s="5">
        <f>811*0</f>
        <v>0</v>
      </c>
      <c r="V47" s="26">
        <f t="shared" si="7"/>
        <v>0</v>
      </c>
    </row>
    <row r="48" spans="2:22" x14ac:dyDescent="0.2">
      <c r="B48" s="21">
        <v>13</v>
      </c>
      <c r="C48" t="s">
        <v>60</v>
      </c>
      <c r="D48" s="3">
        <v>44409</v>
      </c>
      <c r="E48" s="9">
        <f>(641+71+44+6+1+33+13.04)*11</f>
        <v>8899.4399999999987</v>
      </c>
      <c r="F48" s="9"/>
      <c r="G48" s="9">
        <f>E48+F48</f>
        <v>8899.4399999999987</v>
      </c>
      <c r="H48" s="17"/>
      <c r="I48" s="9"/>
      <c r="J48" s="9"/>
      <c r="K48" s="9">
        <f>809.04+1618.08</f>
        <v>2427.12</v>
      </c>
      <c r="L48" s="9">
        <v>809.04</v>
      </c>
      <c r="M48" s="9">
        <v>809.04</v>
      </c>
      <c r="N48" s="9">
        <v>809.04</v>
      </c>
      <c r="O48" s="9">
        <v>809.04</v>
      </c>
      <c r="P48" s="9">
        <v>809.04</v>
      </c>
      <c r="Q48" s="9">
        <v>809.04</v>
      </c>
      <c r="R48" s="9">
        <v>809.04</v>
      </c>
      <c r="S48" s="9">
        <v>809.04</v>
      </c>
      <c r="T48" s="9">
        <f t="shared" si="5"/>
        <v>0</v>
      </c>
      <c r="U48" s="5">
        <f>(13.04+44+712+7+33)*0</f>
        <v>0</v>
      </c>
      <c r="V48" s="26">
        <f t="shared" si="7"/>
        <v>0</v>
      </c>
    </row>
    <row r="49" spans="2:22" x14ac:dyDescent="0.2">
      <c r="B49" s="21">
        <v>14</v>
      </c>
      <c r="C49" t="s">
        <v>69</v>
      </c>
      <c r="D49" s="15">
        <v>44440</v>
      </c>
      <c r="E49" s="9">
        <f>33*10</f>
        <v>330</v>
      </c>
      <c r="F49" s="9"/>
      <c r="G49" s="9">
        <f>E49+F49</f>
        <v>330</v>
      </c>
      <c r="H49" s="17"/>
      <c r="I49" s="17"/>
      <c r="J49" s="9"/>
      <c r="K49" s="9">
        <f>33+33</f>
        <v>66</v>
      </c>
      <c r="L49" s="9">
        <v>33</v>
      </c>
      <c r="M49" s="9">
        <v>33</v>
      </c>
      <c r="N49" s="9">
        <v>33</v>
      </c>
      <c r="O49" s="9">
        <v>33</v>
      </c>
      <c r="P49" s="9">
        <v>33</v>
      </c>
      <c r="Q49" s="9">
        <v>33</v>
      </c>
      <c r="R49" s="9">
        <v>33</v>
      </c>
      <c r="S49" s="9">
        <v>33</v>
      </c>
      <c r="T49" s="9">
        <f t="shared" si="5"/>
        <v>0</v>
      </c>
      <c r="U49" s="5">
        <f>33*0</f>
        <v>0</v>
      </c>
      <c r="V49" s="26">
        <f t="shared" si="7"/>
        <v>0</v>
      </c>
    </row>
    <row r="50" spans="2:22" x14ac:dyDescent="0.2">
      <c r="B50" s="21">
        <v>15</v>
      </c>
      <c r="C50" t="s">
        <v>67</v>
      </c>
      <c r="D50" s="3">
        <v>44378</v>
      </c>
      <c r="E50" s="4">
        <f>(33+34+1485+14)*12</f>
        <v>18792</v>
      </c>
      <c r="F50" s="4"/>
      <c r="G50" s="9">
        <f t="shared" ref="G50:G56" si="8">E50+F50</f>
        <v>18792</v>
      </c>
      <c r="H50" s="4">
        <v>1566</v>
      </c>
      <c r="I50" s="4">
        <v>1566</v>
      </c>
      <c r="J50" s="4">
        <v>1566</v>
      </c>
      <c r="K50" s="4">
        <v>1566</v>
      </c>
      <c r="L50" s="4">
        <v>1566</v>
      </c>
      <c r="M50" s="4">
        <v>1566</v>
      </c>
      <c r="N50" s="4">
        <v>1566</v>
      </c>
      <c r="O50" s="4">
        <v>1566</v>
      </c>
      <c r="P50" s="4">
        <v>1566</v>
      </c>
      <c r="Q50" s="4">
        <v>1566</v>
      </c>
      <c r="R50" s="4">
        <v>1566</v>
      </c>
      <c r="S50" s="4">
        <v>1566</v>
      </c>
      <c r="T50" s="4">
        <f t="shared" si="5"/>
        <v>0</v>
      </c>
      <c r="U50" s="11">
        <f>1566*0</f>
        <v>0</v>
      </c>
      <c r="V50" s="26">
        <f t="shared" si="7"/>
        <v>0</v>
      </c>
    </row>
    <row r="51" spans="2:22" x14ac:dyDescent="0.2">
      <c r="B51" s="21">
        <v>16</v>
      </c>
      <c r="C51" t="s">
        <v>68</v>
      </c>
      <c r="D51" s="3">
        <v>44378</v>
      </c>
      <c r="E51" s="4">
        <f>(33+88+1375+14)*12</f>
        <v>18120</v>
      </c>
      <c r="F51" s="4"/>
      <c r="G51" s="9">
        <f t="shared" si="8"/>
        <v>18120</v>
      </c>
      <c r="H51" s="4">
        <v>1510</v>
      </c>
      <c r="I51" s="4">
        <v>1510</v>
      </c>
      <c r="J51" s="4">
        <v>1510</v>
      </c>
      <c r="K51" s="4">
        <v>1510</v>
      </c>
      <c r="L51" s="4">
        <v>1510</v>
      </c>
      <c r="M51" s="4">
        <v>1510</v>
      </c>
      <c r="N51" s="4">
        <v>1510</v>
      </c>
      <c r="O51" s="4">
        <v>1510</v>
      </c>
      <c r="P51" s="4">
        <v>1510</v>
      </c>
      <c r="Q51" s="4">
        <v>1510</v>
      </c>
      <c r="R51" s="4">
        <v>1510</v>
      </c>
      <c r="S51" s="4">
        <v>1510</v>
      </c>
      <c r="T51" s="4">
        <f t="shared" si="5"/>
        <v>0</v>
      </c>
      <c r="U51" s="11">
        <f>1510*0</f>
        <v>0</v>
      </c>
      <c r="V51" s="26">
        <f t="shared" si="7"/>
        <v>0</v>
      </c>
    </row>
    <row r="52" spans="2:22" x14ac:dyDescent="0.2">
      <c r="B52" s="21">
        <v>17</v>
      </c>
      <c r="C52" t="s">
        <v>70</v>
      </c>
      <c r="D52" s="3">
        <v>44378</v>
      </c>
      <c r="E52" s="4">
        <f>33*12</f>
        <v>396</v>
      </c>
      <c r="F52" s="4"/>
      <c r="G52" s="9">
        <f t="shared" si="8"/>
        <v>396</v>
      </c>
      <c r="H52" s="4">
        <v>33</v>
      </c>
      <c r="I52" s="4">
        <v>33</v>
      </c>
      <c r="J52" s="4">
        <v>33</v>
      </c>
      <c r="K52" s="4">
        <v>33</v>
      </c>
      <c r="L52" s="4">
        <v>33</v>
      </c>
      <c r="M52" s="4">
        <v>33</v>
      </c>
      <c r="N52" s="4">
        <v>33</v>
      </c>
      <c r="O52" s="4">
        <v>33</v>
      </c>
      <c r="P52" s="4">
        <v>33</v>
      </c>
      <c r="Q52" s="4">
        <v>33</v>
      </c>
      <c r="R52" s="4">
        <v>33</v>
      </c>
      <c r="S52" s="4">
        <v>33</v>
      </c>
      <c r="T52" s="4">
        <f t="shared" si="5"/>
        <v>0</v>
      </c>
      <c r="U52" s="11">
        <f>33*0</f>
        <v>0</v>
      </c>
      <c r="V52" s="26">
        <f t="shared" si="7"/>
        <v>0</v>
      </c>
    </row>
    <row r="53" spans="2:22" x14ac:dyDescent="0.2">
      <c r="B53" s="21">
        <v>18</v>
      </c>
      <c r="C53" t="s">
        <v>71</v>
      </c>
      <c r="D53" s="15">
        <v>44440</v>
      </c>
      <c r="E53" s="9">
        <f>(325+36+23+33)*10</f>
        <v>4170</v>
      </c>
      <c r="F53" s="4"/>
      <c r="G53" s="9">
        <f t="shared" si="8"/>
        <v>4170</v>
      </c>
      <c r="H53" s="17"/>
      <c r="I53" s="17"/>
      <c r="J53" s="4"/>
      <c r="K53" s="4">
        <f>33+33</f>
        <v>66</v>
      </c>
      <c r="L53" s="4">
        <f>417+768</f>
        <v>1185</v>
      </c>
      <c r="M53" s="4">
        <v>417</v>
      </c>
      <c r="N53" s="4">
        <v>417</v>
      </c>
      <c r="O53" s="4">
        <v>417</v>
      </c>
      <c r="P53" s="4">
        <v>417</v>
      </c>
      <c r="Q53" s="4">
        <v>417</v>
      </c>
      <c r="R53" s="4">
        <v>417</v>
      </c>
      <c r="S53" s="4">
        <v>417</v>
      </c>
      <c r="T53" s="4">
        <f t="shared" si="5"/>
        <v>0</v>
      </c>
      <c r="U53" s="11">
        <f>(23+361+33)*0</f>
        <v>0</v>
      </c>
      <c r="V53" s="26">
        <f t="shared" si="7"/>
        <v>0</v>
      </c>
    </row>
    <row r="54" spans="2:22" x14ac:dyDescent="0.2">
      <c r="B54" s="21">
        <v>19</v>
      </c>
      <c r="C54" t="s">
        <v>72</v>
      </c>
      <c r="D54" s="3">
        <v>44378</v>
      </c>
      <c r="E54" s="4">
        <f>33*12</f>
        <v>396</v>
      </c>
      <c r="F54" s="4"/>
      <c r="G54" s="9">
        <f t="shared" si="8"/>
        <v>396</v>
      </c>
      <c r="H54" s="4">
        <v>33</v>
      </c>
      <c r="I54" s="4">
        <v>33</v>
      </c>
      <c r="J54" s="4">
        <v>33</v>
      </c>
      <c r="K54" s="4">
        <v>33</v>
      </c>
      <c r="L54" s="4">
        <v>33</v>
      </c>
      <c r="M54" s="4">
        <v>33</v>
      </c>
      <c r="N54" s="4">
        <v>33</v>
      </c>
      <c r="O54" s="4">
        <v>33</v>
      </c>
      <c r="P54" s="4">
        <v>33</v>
      </c>
      <c r="Q54" s="4">
        <v>33</v>
      </c>
      <c r="R54" s="4">
        <v>33</v>
      </c>
      <c r="S54" s="4">
        <v>33</v>
      </c>
      <c r="T54" s="4">
        <f t="shared" si="5"/>
        <v>0</v>
      </c>
      <c r="U54" s="11">
        <f>33*0</f>
        <v>0</v>
      </c>
      <c r="V54" s="26">
        <f t="shared" si="7"/>
        <v>0</v>
      </c>
    </row>
    <row r="55" spans="2:22" x14ac:dyDescent="0.2">
      <c r="B55" s="21">
        <v>20</v>
      </c>
      <c r="C55" t="s">
        <v>73</v>
      </c>
      <c r="D55" s="15">
        <v>44440</v>
      </c>
      <c r="E55" s="4">
        <f>(9.5+59+712+7+33)*10</f>
        <v>8205</v>
      </c>
      <c r="F55" s="4">
        <f>-820.5*4</f>
        <v>-3282</v>
      </c>
      <c r="G55" s="9">
        <f t="shared" si="8"/>
        <v>4923</v>
      </c>
      <c r="H55" s="17"/>
      <c r="I55" s="17"/>
      <c r="J55" s="4"/>
      <c r="K55" s="4">
        <f>33+33</f>
        <v>66</v>
      </c>
      <c r="L55" s="4">
        <f>820.5+1575</f>
        <v>2395.5</v>
      </c>
      <c r="M55" s="4">
        <v>820.5</v>
      </c>
      <c r="N55" s="4">
        <v>820.5</v>
      </c>
      <c r="O55" s="4">
        <v>820.5</v>
      </c>
      <c r="P55" s="4">
        <v>820.5</v>
      </c>
      <c r="Q55" s="4">
        <v>-820.5</v>
      </c>
      <c r="R55" s="17"/>
      <c r="S55" s="17"/>
      <c r="T55" s="4">
        <f t="shared" si="5"/>
        <v>0</v>
      </c>
      <c r="U55" s="11">
        <v>0</v>
      </c>
      <c r="V55" s="26">
        <f t="shared" si="7"/>
        <v>0</v>
      </c>
    </row>
    <row r="56" spans="2:22" x14ac:dyDescent="0.2">
      <c r="B56" s="21">
        <v>21</v>
      </c>
      <c r="C56" t="s">
        <v>74</v>
      </c>
      <c r="D56" s="3">
        <v>44378</v>
      </c>
      <c r="E56" s="4">
        <f>(33+62+658+14)*12</f>
        <v>9204</v>
      </c>
      <c r="F56" s="4"/>
      <c r="G56" s="9">
        <f t="shared" si="8"/>
        <v>9204</v>
      </c>
      <c r="H56" s="4">
        <f>658+62+14+33</f>
        <v>767</v>
      </c>
      <c r="I56" s="4">
        <v>767</v>
      </c>
      <c r="J56" s="4">
        <v>767</v>
      </c>
      <c r="K56" s="4">
        <v>767</v>
      </c>
      <c r="L56" s="4">
        <v>767</v>
      </c>
      <c r="M56" s="4">
        <v>767</v>
      </c>
      <c r="N56" s="4">
        <v>767</v>
      </c>
      <c r="O56" s="4">
        <v>767</v>
      </c>
      <c r="P56" s="4">
        <v>767</v>
      </c>
      <c r="Q56" s="4">
        <v>767</v>
      </c>
      <c r="R56" s="4">
        <v>767</v>
      </c>
      <c r="S56" s="4">
        <v>767</v>
      </c>
      <c r="T56" s="4">
        <f t="shared" si="5"/>
        <v>0</v>
      </c>
      <c r="U56" s="11">
        <f>767*0</f>
        <v>0</v>
      </c>
      <c r="V56" s="26">
        <f t="shared" si="7"/>
        <v>0</v>
      </c>
    </row>
    <row r="57" spans="2:22" x14ac:dyDescent="0.2">
      <c r="B57" s="21" t="s">
        <v>61</v>
      </c>
      <c r="D57" s="3"/>
      <c r="E57" s="4"/>
      <c r="F57" s="4"/>
      <c r="G57" s="4"/>
      <c r="H57" s="4">
        <f>33+809.04</f>
        <v>842.04</v>
      </c>
      <c r="I57" s="4">
        <f>-33-809.04</f>
        <v>-842.04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11"/>
      <c r="V57" s="26">
        <f t="shared" si="7"/>
        <v>0</v>
      </c>
    </row>
    <row r="58" spans="2:22" x14ac:dyDescent="0.2"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V58" s="4"/>
    </row>
    <row r="59" spans="2:22" x14ac:dyDescent="0.2">
      <c r="B59" s="19" t="s">
        <v>47</v>
      </c>
      <c r="E59" s="26">
        <f>SUM(E36:E58)</f>
        <v>159131.84</v>
      </c>
      <c r="F59" s="26">
        <f>SUM(F36:F58)</f>
        <v>-3372</v>
      </c>
      <c r="G59" s="26">
        <f>SUM(G36:G58)</f>
        <v>155759.84</v>
      </c>
      <c r="H59" s="25">
        <f>SUM(H36:H58)</f>
        <v>11302.240000000002</v>
      </c>
      <c r="I59" s="25">
        <f>SUM(I36:I58)</f>
        <v>9618.16</v>
      </c>
      <c r="J59" s="25">
        <f t="shared" ref="J59:P59" si="9">SUM(J36:J58)</f>
        <v>10460.200000000001</v>
      </c>
      <c r="K59" s="25">
        <f t="shared" si="9"/>
        <v>15387.32</v>
      </c>
      <c r="L59" s="25">
        <f t="shared" si="9"/>
        <v>16132.74</v>
      </c>
      <c r="M59" s="25">
        <f t="shared" si="9"/>
        <v>13723.74</v>
      </c>
      <c r="N59" s="25">
        <f t="shared" si="9"/>
        <v>13723.74</v>
      </c>
      <c r="O59" s="25">
        <f t="shared" si="9"/>
        <v>13723.74</v>
      </c>
      <c r="P59" s="25">
        <f t="shared" si="9"/>
        <v>13621.74</v>
      </c>
      <c r="Q59" s="25">
        <f>SUM(Q36:Q58)</f>
        <v>12229.74</v>
      </c>
      <c r="R59" s="25">
        <f>SUM(R36:R58)</f>
        <v>12918.24</v>
      </c>
      <c r="S59" s="25">
        <f>SUM(S36:S58)</f>
        <v>12918.24</v>
      </c>
      <c r="T59" s="25">
        <f>SUM(T36:T58)</f>
        <v>0</v>
      </c>
      <c r="U59" s="25">
        <f>SUM(U36:U58)</f>
        <v>0</v>
      </c>
      <c r="V59" s="4"/>
    </row>
    <row r="60" spans="2:22" x14ac:dyDescent="0.2"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V60" s="4"/>
    </row>
    <row r="61" spans="2:22" x14ac:dyDescent="0.2"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V61" s="4"/>
    </row>
    <row r="62" spans="2:22" x14ac:dyDescent="0.2">
      <c r="B62" s="21" t="s">
        <v>48</v>
      </c>
      <c r="H62" s="26">
        <f>H28</f>
        <v>14481.93</v>
      </c>
      <c r="I62" s="26">
        <f t="shared" ref="I62:S62" si="10">I28</f>
        <v>10403.739999999998</v>
      </c>
      <c r="J62" s="26">
        <f t="shared" si="10"/>
        <v>12668.059999999998</v>
      </c>
      <c r="K62" s="26">
        <f t="shared" si="10"/>
        <v>12668.059999999998</v>
      </c>
      <c r="L62" s="26">
        <f t="shared" si="10"/>
        <v>12668.059999999998</v>
      </c>
      <c r="M62" s="26">
        <f t="shared" si="10"/>
        <v>19002.090000000004</v>
      </c>
      <c r="N62" s="26">
        <f t="shared" si="10"/>
        <v>12668.059999999998</v>
      </c>
      <c r="O62" s="26">
        <f t="shared" si="10"/>
        <v>12620.979999999998</v>
      </c>
      <c r="P62" s="26">
        <f t="shared" si="10"/>
        <v>11984.519999999999</v>
      </c>
      <c r="Q62" s="26">
        <f t="shared" si="10"/>
        <v>11925.439999999999</v>
      </c>
      <c r="R62" s="26">
        <f t="shared" si="10"/>
        <v>11924.519999999999</v>
      </c>
      <c r="S62" s="26">
        <f t="shared" si="10"/>
        <v>11924.519999999999</v>
      </c>
    </row>
    <row r="63" spans="2:22" x14ac:dyDescent="0.2">
      <c r="B63" s="21" t="s">
        <v>47</v>
      </c>
      <c r="H63" s="26">
        <f t="shared" ref="H63:S63" si="11">H59</f>
        <v>11302.240000000002</v>
      </c>
      <c r="I63" s="26">
        <f t="shared" si="11"/>
        <v>9618.16</v>
      </c>
      <c r="J63" s="26">
        <f t="shared" si="11"/>
        <v>10460.200000000001</v>
      </c>
      <c r="K63" s="26">
        <f t="shared" si="11"/>
        <v>15387.32</v>
      </c>
      <c r="L63" s="26">
        <f t="shared" si="11"/>
        <v>16132.74</v>
      </c>
      <c r="M63" s="26">
        <f t="shared" si="11"/>
        <v>13723.74</v>
      </c>
      <c r="N63" s="26">
        <f t="shared" si="11"/>
        <v>13723.74</v>
      </c>
      <c r="O63" s="26">
        <f t="shared" si="11"/>
        <v>13723.74</v>
      </c>
      <c r="P63" s="26">
        <f t="shared" si="11"/>
        <v>13621.74</v>
      </c>
      <c r="Q63" s="26">
        <f t="shared" si="11"/>
        <v>12229.74</v>
      </c>
      <c r="R63" s="26">
        <f t="shared" si="11"/>
        <v>12918.24</v>
      </c>
      <c r="S63" s="26">
        <f t="shared" si="11"/>
        <v>12918.24</v>
      </c>
    </row>
    <row r="64" spans="2:22" x14ac:dyDescent="0.2">
      <c r="B64" s="21" t="s">
        <v>25</v>
      </c>
      <c r="H64" s="29">
        <f>H62-H63</f>
        <v>3179.6899999999987</v>
      </c>
      <c r="I64" s="29">
        <f t="shared" ref="I64:S64" si="12">I62-I63</f>
        <v>785.57999999999811</v>
      </c>
      <c r="J64" s="29">
        <f t="shared" si="12"/>
        <v>2207.8599999999969</v>
      </c>
      <c r="K64" s="29">
        <f t="shared" si="12"/>
        <v>-2719.260000000002</v>
      </c>
      <c r="L64" s="29">
        <f t="shared" si="12"/>
        <v>-3464.6800000000021</v>
      </c>
      <c r="M64" s="29">
        <f t="shared" si="12"/>
        <v>5278.350000000004</v>
      </c>
      <c r="N64" s="29">
        <f t="shared" si="12"/>
        <v>-1055.6800000000021</v>
      </c>
      <c r="O64" s="29">
        <f t="shared" si="12"/>
        <v>-1102.760000000002</v>
      </c>
      <c r="P64" s="29">
        <f t="shared" si="12"/>
        <v>-1637.2200000000012</v>
      </c>
      <c r="Q64" s="29">
        <f t="shared" si="12"/>
        <v>-304.30000000000109</v>
      </c>
      <c r="R64" s="29">
        <f t="shared" si="12"/>
        <v>-993.72000000000116</v>
      </c>
      <c r="S64" s="29">
        <f t="shared" si="12"/>
        <v>-993.72000000000116</v>
      </c>
      <c r="T64" s="26">
        <f>SUM(H64:S64)</f>
        <v>-819.86000000001513</v>
      </c>
    </row>
    <row r="65" spans="2:21" x14ac:dyDescent="0.2">
      <c r="B65" s="21" t="s">
        <v>49</v>
      </c>
      <c r="T65" s="8">
        <v>-819.86</v>
      </c>
      <c r="U65" s="4" t="s">
        <v>50</v>
      </c>
    </row>
    <row r="66" spans="2:21" x14ac:dyDescent="0.2">
      <c r="B66" s="24" t="s">
        <v>51</v>
      </c>
      <c r="T66" s="25">
        <f>T64-T65</f>
        <v>-1.5120349416974932E-11</v>
      </c>
      <c r="U66" s="4" t="s">
        <v>52</v>
      </c>
    </row>
    <row r="67" spans="2:21" x14ac:dyDescent="0.2">
      <c r="T67" s="4"/>
    </row>
  </sheetData>
  <mergeCells count="1">
    <mergeCell ref="H4:S4"/>
  </mergeCells>
  <pageMargins left="0.2" right="0.2" top="0.25" bottom="0.25" header="0.3" footer="0.3"/>
  <pageSetup scale="42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91C3CCD69654585158B6924B12E06" ma:contentTypeVersion="15" ma:contentTypeDescription="Create a new document." ma:contentTypeScope="" ma:versionID="3d5591acd535875a53834aa8ff2bc8ec">
  <xsd:schema xmlns:xsd="http://www.w3.org/2001/XMLSchema" xmlns:xs="http://www.w3.org/2001/XMLSchema" xmlns:p="http://schemas.microsoft.com/office/2006/metadata/properties" xmlns:ns2="9807348d-e230-470a-90d0-301bd10acb75" xmlns:ns3="c5a5773f-3bf0-4d51-9b40-b4f529968875" targetNamespace="http://schemas.microsoft.com/office/2006/metadata/properties" ma:root="true" ma:fieldsID="e7ba20f9ef3483b5c4b35d0da0d1a9c6" ns2:_="" ns3:_="">
    <xsd:import namespace="9807348d-e230-470a-90d0-301bd10acb75"/>
    <xsd:import namespace="c5a5773f-3bf0-4d51-9b40-b4f5299688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7348d-e230-470a-90d0-301bd10acb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fddbcaf-8f12-4105-9ef4-f64155011a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5773f-3bf0-4d51-9b40-b4f52996887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bda48b-550a-4e5f-bbc4-feac2a9710bf}" ma:internalName="TaxCatchAll" ma:showField="CatchAllData" ma:web="c5a5773f-3bf0-4d51-9b40-b4f5299688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a5773f-3bf0-4d51-9b40-b4f529968875" xsi:nil="true"/>
    <lcf76f155ced4ddcb4097134ff3c332f xmlns="9807348d-e230-470a-90d0-301bd10acb7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AE9A0B-3A9D-4185-A28E-DA4689869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B03A4B-3BE0-45DF-964C-B530E7905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07348d-e230-470a-90d0-301bd10acb75"/>
    <ds:schemaRef ds:uri="c5a5773f-3bf0-4d51-9b40-b4f5299688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4E3538-8599-42FF-8450-C6812C10DBE8}">
  <ds:schemaRefs>
    <ds:schemaRef ds:uri="http://schemas.microsoft.com/office/2006/metadata/properties"/>
    <ds:schemaRef ds:uri="http://schemas.microsoft.com/office/infopath/2007/PartnerControls"/>
    <ds:schemaRef ds:uri="c5a5773f-3bf0-4d51-9b40-b4f529968875"/>
    <ds:schemaRef ds:uri="9807348d-e230-470a-90d0-301bd10acb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Blank Reconciliation Template</vt:lpstr>
      <vt:lpstr>Sample Reconciliation #1</vt:lpstr>
      <vt:lpstr>Sample Reconciliation #2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Gayle Mason</dc:creator>
  <cp:keywords/>
  <dc:description/>
  <cp:lastModifiedBy>Microsoft Office User</cp:lastModifiedBy>
  <cp:revision/>
  <dcterms:created xsi:type="dcterms:W3CDTF">2020-07-09T22:38:14Z</dcterms:created>
  <dcterms:modified xsi:type="dcterms:W3CDTF">2022-11-10T00:04:03Z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0x010100D8591C3CCD69654585158B6924B12E06</vt:lpwstr>
  </property>
</Properties>
</file>